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каль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otd-</author>
  </authors>
  <commentList>
    <comment ref="B2" authorId="0">
      <text>
        <r>
          <rPr>
            <b/>
            <sz val="8"/>
            <rFont val="Tahoma"/>
            <family val="0"/>
          </rPr>
          <t>otd-: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<sst xmlns="http://schemas.openxmlformats.org/spreadsheetml/2006/main" count="155" uniqueCount="144">
  <si>
    <t>КАЛЬКУЛЯЦИЯ</t>
  </si>
  <si>
    <t xml:space="preserve">Расходов связанных с производством и передачей тепловой энергии котельной ОАО "ВЗ "Электроприбор"                                                                                                </t>
  </si>
  <si>
    <t>ПЕРИОД РЕГУЛИРОВАНИЯ 2012 ГОД</t>
  </si>
  <si>
    <t>№ п/п</t>
  </si>
  <si>
    <t>Наименование показателей</t>
  </si>
  <si>
    <t>Предложения ДЦТ на 2009 в ценах 2008 г. среднеотпускной тариф</t>
  </si>
  <si>
    <t xml:space="preserve">в том числе </t>
  </si>
  <si>
    <t xml:space="preserve">Факт предприятия за  2009 </t>
  </si>
  <si>
    <t>в том числе по видам теплоносителя</t>
  </si>
  <si>
    <t xml:space="preserve">план  предприятия на  2010г в ценах 2009 г. </t>
  </si>
  <si>
    <t>в том числе по видам теплолносителя</t>
  </si>
  <si>
    <t>План предприятия на 2012 г. с учетом индексов дефляторов</t>
  </si>
  <si>
    <t>Доли в выработ. Паров. Котельн.</t>
  </si>
  <si>
    <t>водогрейная котельная</t>
  </si>
  <si>
    <t>теплоноситель вода (94,92%)</t>
  </si>
  <si>
    <t>теплоноситель вода (91,2%)</t>
  </si>
  <si>
    <t xml:space="preserve">паровая котельная в т.ч. </t>
  </si>
  <si>
    <t>водогрей-ная котельная</t>
  </si>
  <si>
    <t>теплоноситель вода (отопление +ГВС)         (93%)</t>
  </si>
  <si>
    <t>паровая котельная                    13,01%     ( пар)</t>
  </si>
  <si>
    <t xml:space="preserve">теплоноситель горячая вода            86,9%                     </t>
  </si>
  <si>
    <t>теплоноситель пар (5,08%)</t>
  </si>
  <si>
    <t>ГВС( 26,02%)</t>
  </si>
  <si>
    <t>теплоноситель отопление ( 68,9%)</t>
  </si>
  <si>
    <t>теплоноситель пар (8,8%)</t>
  </si>
  <si>
    <t>ГВС( 18%)</t>
  </si>
  <si>
    <t>теплоноситель отопление ( 73,2%)</t>
  </si>
  <si>
    <t>теплоно-ситель пар (7%)</t>
  </si>
  <si>
    <t xml:space="preserve"> отопление ( 75%)</t>
  </si>
  <si>
    <t>Выработка тепловой энергии, Гкал</t>
  </si>
  <si>
    <t xml:space="preserve">Покупка тепловой энергии, Гкал </t>
  </si>
  <si>
    <t>Ресурсы, всего, Гкал</t>
  </si>
  <si>
    <t xml:space="preserve"> - Собственные нужды котельной, Гкал</t>
  </si>
  <si>
    <t xml:space="preserve"> - Потери тепловой энергии, Гкал</t>
  </si>
  <si>
    <t xml:space="preserve"> - Потери и собственные нужды в % к выработке</t>
  </si>
  <si>
    <t>Полезный отпуск, Гкал</t>
  </si>
  <si>
    <t>в т.ч. продажа на сторону, Гкал</t>
  </si>
  <si>
    <t xml:space="preserve"> - населению, Гкал</t>
  </si>
  <si>
    <t>- бюджетным потребителям, Гкал</t>
  </si>
  <si>
    <t>- прочим потребителям, Гкал</t>
  </si>
  <si>
    <t>газ</t>
  </si>
  <si>
    <t>- организациям перепродавцам (с указанием наименований организаций), Гкал</t>
  </si>
  <si>
    <t>1.</t>
  </si>
  <si>
    <t>Топливо на технологические цели, тыс. руб.</t>
  </si>
  <si>
    <t>1.1.</t>
  </si>
  <si>
    <t>Вид применяемого топлива ( в случае использования газа указать объемы и цены поставки газа по регулируемым ценам)</t>
  </si>
  <si>
    <t>1.1.1.</t>
  </si>
  <si>
    <t xml:space="preserve">Объем топлива </t>
  </si>
  <si>
    <t>1.1.2.</t>
  </si>
  <si>
    <t>Цена топлива, в том числе:</t>
  </si>
  <si>
    <t>1.1.3.</t>
  </si>
  <si>
    <t>тариф транспортировки топлива</t>
  </si>
  <si>
    <t>Условное топливо всего, т.у.т.</t>
  </si>
  <si>
    <t>в т.ч. в расчете на 1 Гкал, кг.у.т.</t>
  </si>
  <si>
    <t>2.</t>
  </si>
  <si>
    <t>Вода на технологические цели, тыс. руб.</t>
  </si>
  <si>
    <t>2.1.</t>
  </si>
  <si>
    <t>Холодная вода, тыс. руб.</t>
  </si>
  <si>
    <t>тыс. куб. м. всего</t>
  </si>
  <si>
    <t>в т.ч. в расчете на 1 Гкал, куб. м.</t>
  </si>
  <si>
    <t>цена за 1куб.м, руб.</t>
  </si>
  <si>
    <t>2.2.</t>
  </si>
  <si>
    <t>Вспомогательные материалы (реагенты) для ХВО, тыс. руб.</t>
  </si>
  <si>
    <t>2.2.1.</t>
  </si>
  <si>
    <t>соль, т</t>
  </si>
  <si>
    <t>цена соли, за 1 т, руб.</t>
  </si>
  <si>
    <t>2.2.2.</t>
  </si>
  <si>
    <t>катионит, т</t>
  </si>
  <si>
    <t>цена, руб./т</t>
  </si>
  <si>
    <t>2.3.</t>
  </si>
  <si>
    <t>другие материалы (спирт), л</t>
  </si>
  <si>
    <t>цена, руб./л</t>
  </si>
  <si>
    <t>сульфоуголь, кг</t>
  </si>
  <si>
    <t>цена за 1 кг, руб.</t>
  </si>
  <si>
    <t>2.4.</t>
  </si>
  <si>
    <t>Стоки, тыс. руб.</t>
  </si>
  <si>
    <t>стоки, тыс. куб. м</t>
  </si>
  <si>
    <t>цена за 1 куб. м, руб.</t>
  </si>
  <si>
    <t>3.</t>
  </si>
  <si>
    <t>Электроэнергия на технологические цели, всего, тыс. руб.</t>
  </si>
  <si>
    <t>электроэнергия, тыс.руб.</t>
  </si>
  <si>
    <t>объем электроэнергии, всего, тыс. кВт.ч</t>
  </si>
  <si>
    <t>электроэнергия в расчете на 1 Гкал, кВт.ч</t>
  </si>
  <si>
    <t>средневзвешенный тариф на электроэнергию, руб./кВт.ч</t>
  </si>
  <si>
    <t>4.</t>
  </si>
  <si>
    <t>Оплата труда производственных рабочих, тыс. руб.</t>
  </si>
  <si>
    <t xml:space="preserve">Численность, чел. </t>
  </si>
  <si>
    <t>Среднемесячная заработная плата, руб.</t>
  </si>
  <si>
    <t>% отчислений</t>
  </si>
  <si>
    <t>5.</t>
  </si>
  <si>
    <t>Отчисления с оплаты труда производственных рабочих, тыс. руб.</t>
  </si>
  <si>
    <t>6.</t>
  </si>
  <si>
    <t>6.1.</t>
  </si>
  <si>
    <t>6.2.</t>
  </si>
  <si>
    <t>6.3.</t>
  </si>
  <si>
    <t>7.</t>
  </si>
  <si>
    <t>Цеховые расходы, тыс.руб. из них:</t>
  </si>
  <si>
    <t>7.1.</t>
  </si>
  <si>
    <t>ФОТ цехового персонала, тыс. руб.</t>
  </si>
  <si>
    <t xml:space="preserve">Нормативная численность, чел. </t>
  </si>
  <si>
    <t>7.2.</t>
  </si>
  <si>
    <t>Отчисления с ФОТ цехового персонала, тыс. руб.</t>
  </si>
  <si>
    <t>7.3.</t>
  </si>
  <si>
    <t>Прочие цеховые расходы, тыс. руб.</t>
  </si>
  <si>
    <t>8.</t>
  </si>
  <si>
    <t>8.1.</t>
  </si>
  <si>
    <t>8.2.</t>
  </si>
  <si>
    <t>8.3.</t>
  </si>
  <si>
    <t>9.</t>
  </si>
  <si>
    <t>10.</t>
  </si>
  <si>
    <t>11.</t>
  </si>
  <si>
    <t>12.</t>
  </si>
  <si>
    <t>13.</t>
  </si>
  <si>
    <t>14.</t>
  </si>
  <si>
    <t>15.</t>
  </si>
  <si>
    <t>Общехозяйственные расходы, всего тыс.руб.</t>
  </si>
  <si>
    <t>Недополученный по независящим причинам доход, тыс. руб.</t>
  </si>
  <si>
    <t>Избыток средств, тыс. руб.</t>
  </si>
  <si>
    <t>Итого производственные расходы, всего тыс. руб.</t>
  </si>
  <si>
    <t>в том числе в расчете на 1 Гкал, руб.</t>
  </si>
  <si>
    <t>Топливная составляющая, %</t>
  </si>
  <si>
    <t>Прибыль, тыс. руб.</t>
  </si>
  <si>
    <t>Прибыль на развитие производства, в том числе: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</si>
  <si>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</si>
  <si>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</si>
  <si>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</si>
  <si>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</si>
  <si>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Налоги, сборы, платежи - всего,в том числе:</t>
  </si>
  <si>
    <t>на прибыль</t>
  </si>
  <si>
    <t>на имущество</t>
  </si>
  <si>
    <t>16.</t>
  </si>
  <si>
    <t xml:space="preserve">Итого необходимая валовая выручка, тыс. руб. </t>
  </si>
  <si>
    <t>17.</t>
  </si>
  <si>
    <t>Полезный отпуск, Гкал (на сторону)</t>
  </si>
  <si>
    <t>18.</t>
  </si>
  <si>
    <t>Тариф, руб. за 1 Гкал</t>
  </si>
  <si>
    <t xml:space="preserve">теплоноситель вода     </t>
  </si>
  <si>
    <t>теплоноситель пар</t>
  </si>
  <si>
    <t xml:space="preserve">Утверждено ДЦТ  на 2012 г. </t>
  </si>
  <si>
    <t>амортизация</t>
  </si>
  <si>
    <t>ремонтные работы</t>
  </si>
  <si>
    <t xml:space="preserve">Прочие </t>
  </si>
  <si>
    <t>Расходы по содержанию и эксплуатации оборудования, тыс. руб., в том.числе:</t>
  </si>
  <si>
    <r>
      <t xml:space="preserve">Другие затраты, относимые на себестоимость продукции, всего тыс. руб., </t>
    </r>
    <r>
      <rPr>
        <sz val="9"/>
        <rFont val="Arial Cyr"/>
        <family val="0"/>
      </rPr>
      <t>в том числе: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</si>
</sst>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0.0"/>
    <numFmt numFmtId="168" formatCode="0.000"/>
    <numFmt numFmtId="169" formatCode="_-* #,##0.000_р_._-;\-* #,##0.000_р_._-;_-* &quot;-&quot;??_р_._-;_-@_-"/>
    <numFmt numFmtId="170" formatCode="#,##0.00000"/>
  </numFmts>
  <fonts count="16">
    <font>
      <sz val="10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8"/>
      <color indexed="9"/>
      <name val="Arial Cyr"/>
      <family val="0"/>
    </font>
    <font>
      <sz val="10"/>
      <color indexed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Arial Cyr"/>
      <family val="0"/>
    </font>
    <font>
      <sz val="14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167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7" fillId="2" borderId="3" xfId="17" applyFont="1" applyFill="1" applyBorder="1">
      <alignment/>
      <protection/>
    </xf>
    <xf numFmtId="0" fontId="7" fillId="2" borderId="3" xfId="17" applyFont="1" applyFill="1" applyBorder="1" applyAlignment="1">
      <alignment wrapText="1"/>
      <protection/>
    </xf>
    <xf numFmtId="0" fontId="7" fillId="2" borderId="5" xfId="17" applyFont="1" applyFill="1" applyBorder="1" applyAlignment="1">
      <alignment horizontal="center"/>
      <protection/>
    </xf>
    <xf numFmtId="4" fontId="1" fillId="2" borderId="11" xfId="0" applyNumberFormat="1" applyFont="1" applyFill="1" applyBorder="1" applyAlignment="1">
      <alignment horizontal="right"/>
    </xf>
    <xf numFmtId="0" fontId="8" fillId="2" borderId="3" xfId="17" applyFont="1" applyFill="1" applyBorder="1">
      <alignment/>
      <protection/>
    </xf>
    <xf numFmtId="0" fontId="8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0" fontId="1" fillId="2" borderId="11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 horizontal="right"/>
    </xf>
    <xf numFmtId="0" fontId="7" fillId="2" borderId="7" xfId="17" applyFont="1" applyFill="1" applyBorder="1" applyAlignment="1">
      <alignment horizontal="center" vertical="center" wrapText="1"/>
      <protection/>
    </xf>
    <xf numFmtId="0" fontId="0" fillId="2" borderId="1" xfId="17" applyFont="1" applyFill="1" applyBorder="1" applyAlignment="1">
      <alignment horizontal="center" vertical="center" wrapText="1"/>
      <protection/>
    </xf>
    <xf numFmtId="0" fontId="7" fillId="2" borderId="13" xfId="17" applyFont="1" applyFill="1" applyBorder="1" applyAlignment="1">
      <alignment wrapText="1"/>
      <protection/>
    </xf>
    <xf numFmtId="4" fontId="1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0" fontId="7" fillId="2" borderId="5" xfId="17" applyFont="1" applyFill="1" applyBorder="1">
      <alignment/>
      <protection/>
    </xf>
    <xf numFmtId="0" fontId="7" fillId="2" borderId="13" xfId="17" applyFont="1" applyFill="1" applyBorder="1">
      <alignment/>
      <protection/>
    </xf>
    <xf numFmtId="0" fontId="1" fillId="2" borderId="5" xfId="0" applyFont="1" applyFill="1" applyBorder="1" applyAlignment="1">
      <alignment/>
    </xf>
    <xf numFmtId="165" fontId="1" fillId="2" borderId="12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9" fontId="7" fillId="2" borderId="3" xfId="17" applyNumberFormat="1" applyFont="1" applyFill="1" applyBorder="1" applyAlignment="1">
      <alignment wrapText="1"/>
      <protection/>
    </xf>
    <xf numFmtId="0" fontId="1" fillId="2" borderId="12" xfId="0" applyFont="1" applyFill="1" applyBorder="1" applyAlignment="1">
      <alignment/>
    </xf>
    <xf numFmtId="0" fontId="7" fillId="2" borderId="3" xfId="17" applyFont="1" applyFill="1" applyBorder="1" applyAlignment="1">
      <alignment horizontal="left" vertical="center" wrapText="1"/>
      <protection/>
    </xf>
    <xf numFmtId="0" fontId="0" fillId="2" borderId="3" xfId="17" applyFont="1" applyFill="1" applyBorder="1" applyAlignment="1">
      <alignment horizontal="left" vertical="center" wrapText="1"/>
      <protection/>
    </xf>
    <xf numFmtId="164" fontId="1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8" fillId="2" borderId="3" xfId="17" applyFont="1" applyFill="1" applyBorder="1" applyAlignment="1">
      <alignment horizontal="left"/>
      <protection/>
    </xf>
    <xf numFmtId="168" fontId="1" fillId="2" borderId="3" xfId="0" applyNumberFormat="1" applyFont="1" applyFill="1" applyBorder="1" applyAlignment="1">
      <alignment/>
    </xf>
    <xf numFmtId="168" fontId="1" fillId="2" borderId="12" xfId="0" applyNumberFormat="1" applyFont="1" applyFill="1" applyBorder="1" applyAlignment="1">
      <alignment/>
    </xf>
    <xf numFmtId="169" fontId="1" fillId="2" borderId="3" xfId="19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4" fontId="12" fillId="2" borderId="3" xfId="0" applyNumberFormat="1" applyFont="1" applyFill="1" applyBorder="1" applyAlignment="1">
      <alignment horizontal="right"/>
    </xf>
    <xf numFmtId="4" fontId="12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/>
    </xf>
    <xf numFmtId="0" fontId="7" fillId="2" borderId="5" xfId="17" applyFont="1" applyFill="1" applyBorder="1" applyAlignment="1">
      <alignment horizontal="center" vertical="center"/>
      <protection/>
    </xf>
    <xf numFmtId="165" fontId="1" fillId="2" borderId="11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right"/>
    </xf>
    <xf numFmtId="0" fontId="7" fillId="2" borderId="17" xfId="17" applyFont="1" applyFill="1" applyBorder="1" applyAlignment="1">
      <alignment horizontal="center"/>
      <protection/>
    </xf>
    <xf numFmtId="0" fontId="7" fillId="2" borderId="18" xfId="17" applyFont="1" applyFill="1" applyBorder="1" applyAlignment="1">
      <alignment wrapText="1"/>
      <protection/>
    </xf>
    <xf numFmtId="4" fontId="1" fillId="2" borderId="18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7" fillId="2" borderId="0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2" fillId="2" borderId="0" xfId="0" applyFont="1" applyFill="1" applyBorder="1" applyAlignment="1">
      <alignment horizontal="left"/>
    </xf>
    <xf numFmtId="0" fontId="14" fillId="2" borderId="0" xfId="17" applyFont="1" applyFill="1" applyBorder="1">
      <alignment/>
      <protection/>
    </xf>
    <xf numFmtId="0" fontId="4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  <protection/>
    </xf>
    <xf numFmtId="0" fontId="0" fillId="2" borderId="1" xfId="17" applyFont="1" applyFill="1" applyBorder="1" applyAlignment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Калькуляция на 2005г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1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0.2421875" style="1" customWidth="1"/>
    <col min="2" max="2" width="5.875" style="2" customWidth="1"/>
    <col min="3" max="3" width="42.375" style="2" customWidth="1"/>
    <col min="4" max="4" width="8.00390625" style="1" hidden="1" customWidth="1"/>
    <col min="5" max="6" width="12.00390625" style="1" hidden="1" customWidth="1"/>
    <col min="7" max="7" width="8.25390625" style="1" hidden="1" customWidth="1"/>
    <col min="8" max="16" width="12.00390625" style="1" hidden="1" customWidth="1"/>
    <col min="17" max="17" width="5.25390625" style="1" hidden="1" customWidth="1"/>
    <col min="18" max="18" width="11.00390625" style="1" hidden="1" customWidth="1"/>
    <col min="19" max="19" width="9.625" style="1" hidden="1" customWidth="1"/>
    <col min="20" max="22" width="9.875" style="1" hidden="1" customWidth="1"/>
    <col min="23" max="23" width="15.375" style="1" customWidth="1"/>
    <col min="24" max="24" width="15.00390625" style="1" customWidth="1"/>
    <col min="25" max="25" width="16.00390625" style="1" customWidth="1"/>
    <col min="26" max="26" width="9.625" style="1" bestFit="1" customWidth="1"/>
    <col min="27" max="16384" width="9.125" style="1" customWidth="1"/>
  </cols>
  <sheetData>
    <row r="1" spans="2:25" ht="19.5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2:25" ht="42" customHeight="1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2:25" ht="22.5" customHeight="1" thickBot="1">
      <c r="B3" s="116" t="s">
        <v>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2:25" ht="12" customHeight="1" thickBot="1">
      <c r="B4" s="105" t="s">
        <v>3</v>
      </c>
      <c r="C4" s="106" t="s">
        <v>4</v>
      </c>
      <c r="D4" s="104" t="s">
        <v>5</v>
      </c>
      <c r="E4" s="104" t="s">
        <v>6</v>
      </c>
      <c r="F4" s="104"/>
      <c r="G4" s="103" t="s">
        <v>7</v>
      </c>
      <c r="H4" s="104" t="s">
        <v>8</v>
      </c>
      <c r="I4" s="104"/>
      <c r="J4" s="104"/>
      <c r="K4" s="104"/>
      <c r="L4" s="104" t="s">
        <v>9</v>
      </c>
      <c r="M4" s="104" t="s">
        <v>10</v>
      </c>
      <c r="N4" s="104"/>
      <c r="O4" s="104"/>
      <c r="P4" s="104"/>
      <c r="Q4" s="4"/>
      <c r="R4" s="107" t="s">
        <v>11</v>
      </c>
      <c r="S4" s="104" t="s">
        <v>10</v>
      </c>
      <c r="T4" s="104"/>
      <c r="U4" s="104"/>
      <c r="V4" s="108"/>
      <c r="W4" s="107" t="s">
        <v>138</v>
      </c>
      <c r="X4" s="104" t="s">
        <v>10</v>
      </c>
      <c r="Y4" s="108"/>
    </row>
    <row r="5" spans="2:25" ht="12.75" customHeight="1" thickBot="1">
      <c r="B5" s="105"/>
      <c r="C5" s="106"/>
      <c r="D5" s="104"/>
      <c r="E5" s="104"/>
      <c r="F5" s="104"/>
      <c r="G5" s="103"/>
      <c r="H5" s="104"/>
      <c r="I5" s="104"/>
      <c r="J5" s="104"/>
      <c r="K5" s="104"/>
      <c r="L5" s="104"/>
      <c r="M5" s="104"/>
      <c r="N5" s="104"/>
      <c r="O5" s="104"/>
      <c r="P5" s="104"/>
      <c r="Q5" s="4"/>
      <c r="R5" s="107"/>
      <c r="S5" s="104"/>
      <c r="T5" s="104"/>
      <c r="U5" s="104"/>
      <c r="V5" s="108"/>
      <c r="W5" s="107"/>
      <c r="X5" s="104"/>
      <c r="Y5" s="108"/>
    </row>
    <row r="6" spans="2:25" s="8" customFormat="1" ht="15.75" customHeight="1" thickBot="1">
      <c r="B6" s="105"/>
      <c r="C6" s="106"/>
      <c r="D6" s="104"/>
      <c r="E6" s="93"/>
      <c r="F6" s="93"/>
      <c r="G6" s="103"/>
      <c r="H6" s="117" t="s">
        <v>12</v>
      </c>
      <c r="I6" s="118"/>
      <c r="J6" s="119" t="s">
        <v>13</v>
      </c>
      <c r="K6" s="119" t="s">
        <v>14</v>
      </c>
      <c r="L6" s="104"/>
      <c r="M6" s="117" t="s">
        <v>12</v>
      </c>
      <c r="N6" s="118"/>
      <c r="O6" s="119"/>
      <c r="P6" s="119" t="s">
        <v>15</v>
      </c>
      <c r="Q6" s="94"/>
      <c r="R6" s="107"/>
      <c r="S6" s="109" t="s">
        <v>16</v>
      </c>
      <c r="T6" s="109"/>
      <c r="U6" s="28" t="s">
        <v>17</v>
      </c>
      <c r="V6" s="110" t="s">
        <v>18</v>
      </c>
      <c r="W6" s="107"/>
      <c r="X6" s="113" t="s">
        <v>137</v>
      </c>
      <c r="Y6" s="110" t="s">
        <v>136</v>
      </c>
    </row>
    <row r="7" spans="2:25" s="8" customFormat="1" ht="12" customHeight="1" thickBot="1">
      <c r="B7" s="105"/>
      <c r="C7" s="106"/>
      <c r="D7" s="104"/>
      <c r="E7" s="96"/>
      <c r="F7" s="96"/>
      <c r="G7" s="103"/>
      <c r="H7" s="97">
        <v>0.16</v>
      </c>
      <c r="I7" s="97">
        <v>0.84</v>
      </c>
      <c r="J7" s="120"/>
      <c r="K7" s="121"/>
      <c r="L7" s="104"/>
      <c r="M7" s="97">
        <v>0.3277</v>
      </c>
      <c r="N7" s="97">
        <v>0.6723</v>
      </c>
      <c r="O7" s="120"/>
      <c r="P7" s="121"/>
      <c r="R7" s="107"/>
      <c r="S7" s="98">
        <v>0.3277</v>
      </c>
      <c r="T7" s="99"/>
      <c r="U7" s="100"/>
      <c r="V7" s="111"/>
      <c r="W7" s="107"/>
      <c r="X7" s="114"/>
      <c r="Y7" s="111"/>
    </row>
    <row r="8" spans="2:25" s="8" customFormat="1" ht="24.75" customHeight="1" thickBot="1">
      <c r="B8" s="105"/>
      <c r="C8" s="106"/>
      <c r="D8" s="104"/>
      <c r="E8" s="95" t="s">
        <v>19</v>
      </c>
      <c r="F8" s="95" t="s">
        <v>20</v>
      </c>
      <c r="G8" s="103"/>
      <c r="H8" s="95" t="s">
        <v>21</v>
      </c>
      <c r="I8" s="95" t="s">
        <v>22</v>
      </c>
      <c r="J8" s="95" t="s">
        <v>23</v>
      </c>
      <c r="K8" s="122"/>
      <c r="L8" s="104"/>
      <c r="M8" s="95" t="s">
        <v>24</v>
      </c>
      <c r="N8" s="95" t="s">
        <v>25</v>
      </c>
      <c r="O8" s="95" t="s">
        <v>26</v>
      </c>
      <c r="P8" s="122"/>
      <c r="Q8" s="25"/>
      <c r="R8" s="107"/>
      <c r="S8" s="29" t="s">
        <v>27</v>
      </c>
      <c r="T8" s="29" t="s">
        <v>25</v>
      </c>
      <c r="U8" s="29" t="s">
        <v>28</v>
      </c>
      <c r="V8" s="112"/>
      <c r="W8" s="107"/>
      <c r="X8" s="115"/>
      <c r="Y8" s="112"/>
    </row>
    <row r="9" spans="2:25" ht="18.75" customHeight="1" thickBot="1">
      <c r="B9" s="40"/>
      <c r="C9" s="41"/>
      <c r="D9" s="3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4"/>
      <c r="R9" s="27"/>
      <c r="S9" s="6"/>
      <c r="T9" s="6"/>
      <c r="U9" s="6"/>
      <c r="V9" s="7"/>
      <c r="W9" s="27"/>
      <c r="X9" s="6"/>
      <c r="Y9" s="7"/>
    </row>
    <row r="10" spans="2:25" ht="17.25" customHeight="1">
      <c r="B10" s="30"/>
      <c r="C10" s="42" t="s">
        <v>29</v>
      </c>
      <c r="D10" s="43">
        <f>SUM(E10:F10)</f>
        <v>58696.78</v>
      </c>
      <c r="E10" s="43">
        <v>7638.96</v>
      </c>
      <c r="F10" s="43">
        <v>51057.82</v>
      </c>
      <c r="G10" s="43">
        <f>SUM(H10:J10)</f>
        <v>40946.44</v>
      </c>
      <c r="H10" s="43">
        <v>2080.5</v>
      </c>
      <c r="I10" s="43">
        <v>10665.5</v>
      </c>
      <c r="J10" s="43">
        <v>28200.44</v>
      </c>
      <c r="K10" s="43">
        <f aca="true" t="shared" si="0" ref="K10:K18">SUM(I10:J10)</f>
        <v>38865.94</v>
      </c>
      <c r="L10" s="43">
        <f>SUM(M10+P10)</f>
        <v>50671.85999999999</v>
      </c>
      <c r="M10" s="43">
        <v>4437.74</v>
      </c>
      <c r="N10" s="43">
        <v>9104.91</v>
      </c>
      <c r="O10" s="43">
        <v>37129.21</v>
      </c>
      <c r="P10" s="44">
        <f>SUM(N10:O10)</f>
        <v>46234.119999999995</v>
      </c>
      <c r="Q10" s="8"/>
      <c r="R10" s="45">
        <f>SUM(S10+V10)</f>
        <v>49086.030000000006</v>
      </c>
      <c r="S10" s="43">
        <v>3499.5</v>
      </c>
      <c r="T10" s="43">
        <v>8569.87</v>
      </c>
      <c r="U10" s="43">
        <v>37016.66</v>
      </c>
      <c r="V10" s="46">
        <f>SUM(T10:U10)</f>
        <v>45586.530000000006</v>
      </c>
      <c r="W10" s="45">
        <f>SUM(X10+Y10)</f>
        <v>51705.86</v>
      </c>
      <c r="X10" s="43">
        <v>4437.74</v>
      </c>
      <c r="Y10" s="46">
        <v>47268.12</v>
      </c>
    </row>
    <row r="11" spans="2:25" ht="18" customHeight="1">
      <c r="B11" s="47"/>
      <c r="C11" s="48" t="s">
        <v>30</v>
      </c>
      <c r="D11" s="5"/>
      <c r="E11" s="5"/>
      <c r="F11" s="10"/>
      <c r="G11" s="5">
        <f>SUM(H11:J11)</f>
        <v>0</v>
      </c>
      <c r="H11" s="10"/>
      <c r="I11" s="10"/>
      <c r="J11" s="10"/>
      <c r="K11" s="11">
        <f t="shared" si="0"/>
        <v>0</v>
      </c>
      <c r="L11" s="5"/>
      <c r="M11" s="10"/>
      <c r="N11" s="10"/>
      <c r="O11" s="10"/>
      <c r="P11" s="11"/>
      <c r="Q11" s="8"/>
      <c r="R11" s="49"/>
      <c r="S11" s="17"/>
      <c r="T11" s="10"/>
      <c r="U11" s="10"/>
      <c r="V11" s="50"/>
      <c r="W11" s="49"/>
      <c r="X11" s="17"/>
      <c r="Y11" s="50"/>
    </row>
    <row r="12" spans="2:25" ht="18" customHeight="1">
      <c r="B12" s="47"/>
      <c r="C12" s="48" t="s">
        <v>31</v>
      </c>
      <c r="D12" s="5"/>
      <c r="E12" s="5"/>
      <c r="F12" s="10"/>
      <c r="G12" s="5">
        <f>SUM(H12:J12)</f>
        <v>0</v>
      </c>
      <c r="H12" s="10"/>
      <c r="I12" s="10"/>
      <c r="J12" s="10"/>
      <c r="K12" s="11">
        <f t="shared" si="0"/>
        <v>0</v>
      </c>
      <c r="L12" s="5"/>
      <c r="M12" s="10"/>
      <c r="N12" s="10"/>
      <c r="O12" s="10"/>
      <c r="P12" s="11"/>
      <c r="Q12" s="8"/>
      <c r="R12" s="49"/>
      <c r="S12" s="10"/>
      <c r="T12" s="10"/>
      <c r="U12" s="10"/>
      <c r="V12" s="50"/>
      <c r="W12" s="49"/>
      <c r="X12" s="10"/>
      <c r="Y12" s="50"/>
    </row>
    <row r="13" spans="2:25" ht="17.25" customHeight="1">
      <c r="B13" s="47"/>
      <c r="C13" s="32" t="s">
        <v>32</v>
      </c>
      <c r="D13" s="9">
        <f>SUM(E13:F13)</f>
        <v>1402.85</v>
      </c>
      <c r="E13" s="9">
        <v>182.57</v>
      </c>
      <c r="F13" s="10">
        <v>1220.28</v>
      </c>
      <c r="G13" s="9">
        <f>SUM(H13:J13)</f>
        <v>978.62</v>
      </c>
      <c r="H13" s="10">
        <v>49.72</v>
      </c>
      <c r="I13" s="10">
        <v>254.91</v>
      </c>
      <c r="J13" s="10">
        <v>673.99</v>
      </c>
      <c r="K13" s="11">
        <f t="shared" si="0"/>
        <v>928.9</v>
      </c>
      <c r="L13" s="9">
        <f aca="true" t="shared" si="1" ref="L13:L19">SUM(M13+P13)</f>
        <v>1209.8</v>
      </c>
      <c r="M13" s="10">
        <v>106</v>
      </c>
      <c r="N13" s="10">
        <v>217.22</v>
      </c>
      <c r="O13" s="10">
        <v>886.58</v>
      </c>
      <c r="P13" s="11">
        <v>1103.8</v>
      </c>
      <c r="Q13" s="8"/>
      <c r="R13" s="51">
        <f>SUM(S13,V13)</f>
        <v>1173.97</v>
      </c>
      <c r="S13" s="10">
        <v>84.15</v>
      </c>
      <c r="T13" s="10">
        <v>205.08</v>
      </c>
      <c r="U13" s="10">
        <v>884.74</v>
      </c>
      <c r="V13" s="50">
        <f>SUM(T13,U13)</f>
        <v>1089.82</v>
      </c>
      <c r="W13" s="51">
        <f>SUM(X13,Y13)</f>
        <v>1209.8</v>
      </c>
      <c r="X13" s="10">
        <v>106</v>
      </c>
      <c r="Y13" s="50">
        <v>1103.8</v>
      </c>
    </row>
    <row r="14" spans="2:25" ht="18" customHeight="1">
      <c r="B14" s="47"/>
      <c r="C14" s="32" t="s">
        <v>33</v>
      </c>
      <c r="D14" s="9">
        <f>SUM(E14:F14)</f>
        <v>954</v>
      </c>
      <c r="E14" s="10"/>
      <c r="F14" s="5">
        <v>954</v>
      </c>
      <c r="G14" s="9">
        <f>SUM(H14:J14)</f>
        <v>954</v>
      </c>
      <c r="H14" s="5"/>
      <c r="I14" s="5">
        <v>400</v>
      </c>
      <c r="J14" s="5">
        <v>554</v>
      </c>
      <c r="K14" s="11">
        <f t="shared" si="0"/>
        <v>954</v>
      </c>
      <c r="L14" s="9">
        <f t="shared" si="1"/>
        <v>954</v>
      </c>
      <c r="M14" s="5"/>
      <c r="N14" s="5">
        <v>400</v>
      </c>
      <c r="O14" s="5">
        <v>554</v>
      </c>
      <c r="P14" s="11">
        <f>SUM(N14:O14)</f>
        <v>954</v>
      </c>
      <c r="Q14" s="8"/>
      <c r="R14" s="51">
        <f>SUM(S14,V14)</f>
        <v>954</v>
      </c>
      <c r="S14" s="5"/>
      <c r="T14" s="5">
        <v>400</v>
      </c>
      <c r="U14" s="5">
        <v>554</v>
      </c>
      <c r="V14" s="50">
        <f>SUM(T14:U14)</f>
        <v>954</v>
      </c>
      <c r="W14" s="51">
        <f>SUM(X14,Y14)</f>
        <v>1988</v>
      </c>
      <c r="X14" s="5"/>
      <c r="Y14" s="50">
        <v>1988</v>
      </c>
    </row>
    <row r="15" spans="2:25" ht="15.75" customHeight="1">
      <c r="B15" s="33"/>
      <c r="C15" s="32" t="s">
        <v>34</v>
      </c>
      <c r="D15" s="9">
        <f aca="true" t="shared" si="2" ref="D15:J15">PRODUCT((D14+D13)/D10)</f>
        <v>0.040152969208873124</v>
      </c>
      <c r="E15" s="12">
        <f t="shared" si="2"/>
        <v>0.023899850241394117</v>
      </c>
      <c r="F15" s="12">
        <f t="shared" si="2"/>
        <v>0.04258466185982872</v>
      </c>
      <c r="G15" s="9">
        <f t="shared" si="2"/>
        <v>0.047198730829835264</v>
      </c>
      <c r="H15" s="12">
        <f t="shared" si="2"/>
        <v>0.02389810141792838</v>
      </c>
      <c r="I15" s="12">
        <f t="shared" si="2"/>
        <v>0.061404528620317846</v>
      </c>
      <c r="J15" s="12">
        <f t="shared" si="2"/>
        <v>0.043545065254301</v>
      </c>
      <c r="K15" s="11">
        <f t="shared" si="0"/>
        <v>0.10494959387461884</v>
      </c>
      <c r="L15" s="9">
        <f t="shared" si="1"/>
        <v>0</v>
      </c>
      <c r="M15" s="12"/>
      <c r="N15" s="12"/>
      <c r="O15" s="12"/>
      <c r="P15" s="11">
        <f>SUM(N15:O15)</f>
        <v>0</v>
      </c>
      <c r="Q15" s="8"/>
      <c r="R15" s="51">
        <f>SUM(S15+V15)</f>
        <v>0</v>
      </c>
      <c r="S15" s="12"/>
      <c r="T15" s="12"/>
      <c r="U15" s="12"/>
      <c r="V15" s="50">
        <f>SUM(T15:U15)</f>
        <v>0</v>
      </c>
      <c r="W15" s="51"/>
      <c r="X15" s="12"/>
      <c r="Y15" s="50"/>
    </row>
    <row r="16" spans="2:25" ht="17.25" customHeight="1">
      <c r="B16" s="33"/>
      <c r="C16" s="32" t="s">
        <v>35</v>
      </c>
      <c r="D16" s="9">
        <f>SUM(E16:F16)</f>
        <v>56339.93</v>
      </c>
      <c r="E16" s="10">
        <f>SUM(E10-E13-E14)</f>
        <v>7456.39</v>
      </c>
      <c r="F16" s="10">
        <f>SUM(F10-F13-F14)</f>
        <v>48883.54</v>
      </c>
      <c r="G16" s="9">
        <f>SUM(H16:J16)</f>
        <v>39013.82</v>
      </c>
      <c r="H16" s="10">
        <f>SUM(H10-H13-H14)</f>
        <v>2030.78</v>
      </c>
      <c r="I16" s="10">
        <f>SUM(I10-I13-I14)</f>
        <v>10010.59</v>
      </c>
      <c r="J16" s="10">
        <f>SUM(J10-J13-J14)</f>
        <v>26972.449999999997</v>
      </c>
      <c r="K16" s="11">
        <f t="shared" si="0"/>
        <v>36983.03999999999</v>
      </c>
      <c r="L16" s="9">
        <f t="shared" si="1"/>
        <v>48508.05999999999</v>
      </c>
      <c r="M16" s="10">
        <f>SUM(M10-M13)</f>
        <v>4331.74</v>
      </c>
      <c r="N16" s="10">
        <v>8487.69</v>
      </c>
      <c r="O16" s="10">
        <v>35688.63</v>
      </c>
      <c r="P16" s="11">
        <f>SUM(P10-P13-P14)</f>
        <v>44176.31999999999</v>
      </c>
      <c r="Q16" s="8"/>
      <c r="R16" s="51">
        <f>SUM(S16,V16)</f>
        <v>46958.060000000005</v>
      </c>
      <c r="S16" s="10">
        <f>SUM(S10-S13)</f>
        <v>3415.35</v>
      </c>
      <c r="T16" s="10">
        <f>SUM(T10-T13-T14)</f>
        <v>7964.790000000001</v>
      </c>
      <c r="U16" s="10">
        <f>SUM(U10-U13-U14)</f>
        <v>35577.920000000006</v>
      </c>
      <c r="V16" s="50">
        <f>SUM(T16+U16)</f>
        <v>43542.71000000001</v>
      </c>
      <c r="W16" s="51">
        <f>SUM(X16,Y16)</f>
        <v>48508.06</v>
      </c>
      <c r="X16" s="10">
        <v>4331.74</v>
      </c>
      <c r="Y16" s="50">
        <v>44176.32</v>
      </c>
    </row>
    <row r="17" spans="2:25" ht="17.25" customHeight="1">
      <c r="B17" s="33"/>
      <c r="C17" s="32" t="s">
        <v>36</v>
      </c>
      <c r="D17" s="9">
        <f>SUM(E17:F17)</f>
        <v>0</v>
      </c>
      <c r="E17" s="10"/>
      <c r="F17" s="10"/>
      <c r="G17" s="9">
        <f>SUM(H17:J17)</f>
        <v>17078.21</v>
      </c>
      <c r="H17" s="10">
        <v>0</v>
      </c>
      <c r="I17" s="10">
        <v>5516.11</v>
      </c>
      <c r="J17" s="10">
        <v>11562.1</v>
      </c>
      <c r="K17" s="11">
        <f t="shared" si="0"/>
        <v>17078.21</v>
      </c>
      <c r="L17" s="9">
        <f t="shared" si="1"/>
        <v>18760.6</v>
      </c>
      <c r="M17" s="10"/>
      <c r="N17" s="10">
        <v>6591.83</v>
      </c>
      <c r="O17" s="10">
        <v>12168.73</v>
      </c>
      <c r="P17" s="11">
        <v>18760.6</v>
      </c>
      <c r="Q17" s="8"/>
      <c r="R17" s="51">
        <f>SUM(S17+V17)</f>
        <v>18520.66</v>
      </c>
      <c r="S17" s="10"/>
      <c r="T17" s="10">
        <v>6140.83</v>
      </c>
      <c r="U17" s="10">
        <v>12379.83</v>
      </c>
      <c r="V17" s="39">
        <f>SUM(T17:U17)</f>
        <v>18520.66</v>
      </c>
      <c r="W17" s="51">
        <f>SUM(X17+Y17)</f>
        <v>18760.6</v>
      </c>
      <c r="X17" s="10"/>
      <c r="Y17" s="39">
        <v>18760.6</v>
      </c>
    </row>
    <row r="18" spans="2:25" ht="17.25" customHeight="1">
      <c r="B18" s="33"/>
      <c r="C18" s="52" t="s">
        <v>37</v>
      </c>
      <c r="D18" s="9">
        <v>7909.98</v>
      </c>
      <c r="E18" s="9"/>
      <c r="F18" s="10"/>
      <c r="G18" s="9">
        <f>SUM(H18:J18)</f>
        <v>6902.64</v>
      </c>
      <c r="H18" s="10"/>
      <c r="I18" s="10">
        <v>2926.76</v>
      </c>
      <c r="J18" s="10">
        <v>3975.88</v>
      </c>
      <c r="K18" s="11">
        <f t="shared" si="0"/>
        <v>6902.64</v>
      </c>
      <c r="L18" s="9">
        <f t="shared" si="1"/>
        <v>8233</v>
      </c>
      <c r="M18" s="10">
        <v>0</v>
      </c>
      <c r="N18" s="10">
        <v>3678</v>
      </c>
      <c r="O18" s="10">
        <v>4555</v>
      </c>
      <c r="P18" s="11">
        <v>8233</v>
      </c>
      <c r="Q18" s="8"/>
      <c r="R18" s="51">
        <f>SUM(S18+V18)</f>
        <v>7843</v>
      </c>
      <c r="S18" s="10">
        <v>0</v>
      </c>
      <c r="T18" s="10">
        <v>2908</v>
      </c>
      <c r="U18" s="10">
        <v>4935</v>
      </c>
      <c r="V18" s="39">
        <f>SUM(T18:U18)</f>
        <v>7843</v>
      </c>
      <c r="W18" s="51">
        <f>SUM(X18+Y18)</f>
        <v>8233</v>
      </c>
      <c r="X18" s="10">
        <v>0</v>
      </c>
      <c r="Y18" s="39">
        <v>8233</v>
      </c>
    </row>
    <row r="19" spans="2:25" ht="17.25" customHeight="1">
      <c r="B19" s="33"/>
      <c r="C19" s="32" t="s">
        <v>38</v>
      </c>
      <c r="D19" s="9"/>
      <c r="E19" s="10"/>
      <c r="F19" s="10"/>
      <c r="G19" s="9"/>
      <c r="H19" s="10"/>
      <c r="I19" s="10"/>
      <c r="J19" s="10"/>
      <c r="K19" s="11"/>
      <c r="L19" s="9">
        <f t="shared" si="1"/>
        <v>199571.56331918947</v>
      </c>
      <c r="M19" s="10">
        <f>PRODUCT(M23*M24)/1000+M22</f>
        <v>36136.96621198948</v>
      </c>
      <c r="N19" s="10">
        <f>PRODUCT(N23*O24)/1000+N22</f>
        <v>59680.112344578956</v>
      </c>
      <c r="O19" s="10">
        <f>PRODUCT(O23*P24)/1000+O22</f>
        <v>103754.50647604211</v>
      </c>
      <c r="P19" s="11">
        <f>PRODUCT(P23*P24)/1000+P22</f>
        <v>163434.5971072</v>
      </c>
      <c r="Q19" s="8"/>
      <c r="R19" s="51"/>
      <c r="S19" s="5"/>
      <c r="T19" s="5"/>
      <c r="U19" s="5"/>
      <c r="V19" s="53"/>
      <c r="W19" s="51"/>
      <c r="X19" s="5"/>
      <c r="Y19" s="53"/>
    </row>
    <row r="20" spans="2:25" ht="17.25" customHeight="1">
      <c r="B20" s="33"/>
      <c r="C20" s="32" t="s">
        <v>39</v>
      </c>
      <c r="D20" s="9"/>
      <c r="E20" s="10"/>
      <c r="F20" s="10"/>
      <c r="G20" s="9"/>
      <c r="H20" s="10"/>
      <c r="I20" s="10"/>
      <c r="J20" s="10"/>
      <c r="K20" s="11"/>
      <c r="L20" s="9">
        <f>AVERAGE(G23*0.9492)</f>
        <v>0</v>
      </c>
      <c r="M20" s="10" t="s">
        <v>40</v>
      </c>
      <c r="N20" s="10" t="s">
        <v>40</v>
      </c>
      <c r="O20" s="10" t="s">
        <v>40</v>
      </c>
      <c r="P20" s="11" t="s">
        <v>40</v>
      </c>
      <c r="Q20" s="8"/>
      <c r="R20" s="51"/>
      <c r="S20" s="5"/>
      <c r="T20" s="5"/>
      <c r="U20" s="5"/>
      <c r="V20" s="53"/>
      <c r="W20" s="51"/>
      <c r="X20" s="5"/>
      <c r="Y20" s="53"/>
    </row>
    <row r="21" spans="2:25" ht="27" customHeight="1">
      <c r="B21" s="33"/>
      <c r="C21" s="32" t="s">
        <v>41</v>
      </c>
      <c r="D21" s="9"/>
      <c r="E21" s="10"/>
      <c r="F21" s="10"/>
      <c r="G21" s="9"/>
      <c r="H21" s="10"/>
      <c r="I21" s="10"/>
      <c r="J21" s="10"/>
      <c r="K21" s="11"/>
      <c r="L21" s="9"/>
      <c r="M21" s="10"/>
      <c r="N21" s="10"/>
      <c r="O21" s="10"/>
      <c r="P21" s="11"/>
      <c r="Q21" s="8"/>
      <c r="R21" s="51"/>
      <c r="S21" s="10"/>
      <c r="T21" s="5"/>
      <c r="U21" s="5"/>
      <c r="V21" s="53"/>
      <c r="W21" s="51"/>
      <c r="X21" s="10"/>
      <c r="Y21" s="53"/>
    </row>
    <row r="22" spans="2:25" ht="27" customHeight="1">
      <c r="B22" s="24" t="s">
        <v>42</v>
      </c>
      <c r="C22" s="32" t="s">
        <v>43</v>
      </c>
      <c r="D22" s="9">
        <f>SUM(E22:F22)</f>
        <v>19812.145032695054</v>
      </c>
      <c r="E22" s="9">
        <f>PRODUCT(E24*E25)/1000</f>
        <v>2716.917101003369</v>
      </c>
      <c r="F22" s="9">
        <f>PRODUCT(F24*F25)/1000</f>
        <v>17095.227931691687</v>
      </c>
      <c r="G22" s="9">
        <f>SUM(H22:J22)</f>
        <v>13354.683986800002</v>
      </c>
      <c r="H22" s="9">
        <f>SUM(H24*H25)/1000</f>
        <v>678.7654624</v>
      </c>
      <c r="I22" s="9">
        <f>SUM(I24*I25)/1000</f>
        <v>3478.496422</v>
      </c>
      <c r="J22" s="9">
        <f>SUM(J24*J25)/1000</f>
        <v>9197.422102400002</v>
      </c>
      <c r="K22" s="9">
        <f>SUM(I22:J22)</f>
        <v>12675.918524400002</v>
      </c>
      <c r="L22" s="9">
        <f aca="true" t="shared" si="3" ref="L22:Q22">SUM(J22:K22)</f>
        <v>21873.340626800004</v>
      </c>
      <c r="M22" s="9">
        <f t="shared" si="3"/>
        <v>34549.25915120001</v>
      </c>
      <c r="N22" s="9">
        <f t="shared" si="3"/>
        <v>56422.59977800001</v>
      </c>
      <c r="O22" s="9">
        <f t="shared" si="3"/>
        <v>90971.85892920001</v>
      </c>
      <c r="P22" s="9">
        <f t="shared" si="3"/>
        <v>147394.4587072</v>
      </c>
      <c r="Q22" s="9">
        <f t="shared" si="3"/>
        <v>238366.31763640002</v>
      </c>
      <c r="R22" s="51">
        <f>SUM(S22,V22)</f>
        <v>28074.66405795609</v>
      </c>
      <c r="S22" s="9">
        <f>AVERAGE(S24*S25)/1000</f>
        <v>2001.532551538948</v>
      </c>
      <c r="T22" s="9">
        <f>AVERAGE(T24*T25)/1000</f>
        <v>4901.521293743987</v>
      </c>
      <c r="U22" s="9">
        <f>AVERAGE(U24*U25)/1000</f>
        <v>21171.610212673157</v>
      </c>
      <c r="V22" s="39">
        <f>SUM(T22,U22)</f>
        <v>26073.131506417143</v>
      </c>
      <c r="W22" s="51">
        <f>SUM(X22,Y22)</f>
        <v>29334.809999999998</v>
      </c>
      <c r="X22" s="9">
        <v>2517.71</v>
      </c>
      <c r="Y22" s="39">
        <v>26817.1</v>
      </c>
    </row>
    <row r="23" spans="2:25" ht="45" customHeight="1">
      <c r="B23" s="33" t="s">
        <v>44</v>
      </c>
      <c r="C23" s="54" t="s">
        <v>45</v>
      </c>
      <c r="D23" s="9"/>
      <c r="E23" s="13"/>
      <c r="F23" s="13"/>
      <c r="G23" s="9"/>
      <c r="H23" s="9"/>
      <c r="I23" s="9"/>
      <c r="J23" s="9"/>
      <c r="K23" s="11"/>
      <c r="L23" s="9">
        <f>SUM(M23+P23)</f>
        <v>7121.412280701755</v>
      </c>
      <c r="M23" s="9">
        <f>PRODUCT(M26/1.14)</f>
        <v>641.4122807017545</v>
      </c>
      <c r="N23" s="9">
        <f>PRODUCT(N26/1.14)</f>
        <v>1315.9912280701756</v>
      </c>
      <c r="O23" s="9">
        <f>PRODUCT(O26/1.14)</f>
        <v>5164.017543859649</v>
      </c>
      <c r="P23" s="11">
        <v>6480</v>
      </c>
      <c r="Q23" s="8"/>
      <c r="R23" s="49"/>
      <c r="S23" s="5"/>
      <c r="T23" s="5"/>
      <c r="U23" s="5"/>
      <c r="V23" s="53"/>
      <c r="W23" s="49"/>
      <c r="X23" s="5"/>
      <c r="Y23" s="53"/>
    </row>
    <row r="24" spans="2:25" ht="18" customHeight="1">
      <c r="B24" s="33" t="s">
        <v>46</v>
      </c>
      <c r="C24" s="55" t="s">
        <v>47</v>
      </c>
      <c r="D24" s="9">
        <f>SUM(E24:F24)</f>
        <v>8003.839905263159</v>
      </c>
      <c r="E24" s="9">
        <f>PRODUCT(E27/1.14)</f>
        <v>1097.5979368421056</v>
      </c>
      <c r="F24" s="9">
        <f>PRODUCT(F27/1.14)</f>
        <v>6906.241968421054</v>
      </c>
      <c r="G24" s="16">
        <f>SUM(H24+K24)</f>
        <v>5445.557</v>
      </c>
      <c r="H24" s="16">
        <v>276.776</v>
      </c>
      <c r="I24" s="16">
        <v>1418.405</v>
      </c>
      <c r="J24" s="16">
        <v>3750.376</v>
      </c>
      <c r="K24" s="11">
        <f>SUM(I24:J24)</f>
        <v>5168.781</v>
      </c>
      <c r="L24" s="9">
        <v>2475.33</v>
      </c>
      <c r="M24" s="5">
        <v>2475.33</v>
      </c>
      <c r="N24" s="18">
        <v>2475.33</v>
      </c>
      <c r="O24" s="18">
        <v>2475.33</v>
      </c>
      <c r="P24" s="9">
        <v>2475.33</v>
      </c>
      <c r="Q24" s="8"/>
      <c r="R24" s="56">
        <f>SUM(S24,V24)</f>
        <v>6751.482021052632</v>
      </c>
      <c r="S24" s="9">
        <f>AVERAGE(S27/1.14)</f>
        <v>481.3347368421054</v>
      </c>
      <c r="T24" s="9">
        <f>AVERAGE(T27/1.14)</f>
        <v>1178.7329964912283</v>
      </c>
      <c r="U24" s="9">
        <f>AVERAGE(U27/1.14)</f>
        <v>5091.414287719299</v>
      </c>
      <c r="V24" s="50">
        <f>SUM(T24,U24)</f>
        <v>6270.147284210527</v>
      </c>
      <c r="W24" s="56">
        <f>SUM(X24,Y24)</f>
        <v>7049.99</v>
      </c>
      <c r="X24" s="9">
        <v>605.08</v>
      </c>
      <c r="Y24" s="50">
        <v>6444.91</v>
      </c>
    </row>
    <row r="25" spans="2:25" ht="16.5" customHeight="1">
      <c r="B25" s="33" t="s">
        <v>48</v>
      </c>
      <c r="C25" s="31" t="s">
        <v>49</v>
      </c>
      <c r="D25" s="9">
        <v>2475.33</v>
      </c>
      <c r="E25" s="10">
        <v>2475.33</v>
      </c>
      <c r="F25" s="10">
        <v>2475.33</v>
      </c>
      <c r="G25" s="10">
        <v>2452.4</v>
      </c>
      <c r="H25" s="10">
        <v>2452.4</v>
      </c>
      <c r="I25" s="10">
        <v>2452.4</v>
      </c>
      <c r="J25" s="10">
        <v>2452.4</v>
      </c>
      <c r="K25" s="10">
        <v>2452.4</v>
      </c>
      <c r="L25" s="9"/>
      <c r="M25" s="18"/>
      <c r="N25" s="18"/>
      <c r="O25" s="18"/>
      <c r="P25" s="11"/>
      <c r="Q25" s="8"/>
      <c r="R25" s="57">
        <v>4158.2965</v>
      </c>
      <c r="S25" s="10">
        <v>4158.2965</v>
      </c>
      <c r="T25" s="10">
        <v>4158.2965</v>
      </c>
      <c r="U25" s="10">
        <v>4158.2965</v>
      </c>
      <c r="V25" s="58">
        <v>4158.2965</v>
      </c>
      <c r="W25" s="57">
        <v>4160.98</v>
      </c>
      <c r="X25" s="10">
        <v>4160.98</v>
      </c>
      <c r="Y25" s="58">
        <v>4160.98</v>
      </c>
    </row>
    <row r="26" spans="2:25" ht="16.5" customHeight="1">
      <c r="B26" s="33" t="s">
        <v>50</v>
      </c>
      <c r="C26" s="31" t="s">
        <v>51</v>
      </c>
      <c r="D26" s="9"/>
      <c r="E26" s="10"/>
      <c r="F26" s="10"/>
      <c r="G26" s="9"/>
      <c r="H26" s="18"/>
      <c r="I26" s="18"/>
      <c r="J26" s="18"/>
      <c r="K26" s="11"/>
      <c r="L26" s="9">
        <f>SUM(M26+P26)</f>
        <v>8118.41</v>
      </c>
      <c r="M26" s="10">
        <v>731.21</v>
      </c>
      <c r="N26" s="10">
        <v>1500.23</v>
      </c>
      <c r="O26" s="10">
        <v>5886.98</v>
      </c>
      <c r="P26" s="11">
        <v>7387.2</v>
      </c>
      <c r="Q26" s="8"/>
      <c r="R26" s="51"/>
      <c r="S26" s="5"/>
      <c r="T26" s="13"/>
      <c r="U26" s="5"/>
      <c r="V26" s="53"/>
      <c r="W26" s="51"/>
      <c r="X26" s="5"/>
      <c r="Y26" s="53"/>
    </row>
    <row r="27" spans="2:25" ht="16.5" customHeight="1">
      <c r="B27" s="33"/>
      <c r="C27" s="31" t="s">
        <v>52</v>
      </c>
      <c r="D27" s="9">
        <f>SUM(E27:F27)</f>
        <v>9124.377492</v>
      </c>
      <c r="E27" s="10">
        <f>PRODUCT(E10*E28)/1000</f>
        <v>1251.2616480000002</v>
      </c>
      <c r="F27" s="10">
        <f>PRODUCT(F10*F28)/1000</f>
        <v>7873.115844</v>
      </c>
      <c r="G27" s="9">
        <f>SUM(H27:J27)</f>
        <v>6207.832443383999</v>
      </c>
      <c r="H27" s="9">
        <f>PRODUCT(H28*H10)/1000</f>
        <v>315.4216923</v>
      </c>
      <c r="I27" s="10">
        <f>PRODUCT(I28*I10)/1000</f>
        <v>1616.9815233</v>
      </c>
      <c r="J27" s="10">
        <f>PRODUCT(J28*J10)/1000</f>
        <v>4275.4292277839995</v>
      </c>
      <c r="K27" s="11">
        <f>SUM(I27:J27)</f>
        <v>5892.4107510839995</v>
      </c>
      <c r="L27" s="9">
        <f>AVERAGE(L26/L10)*1000</f>
        <v>160.2153542419797</v>
      </c>
      <c r="M27" s="9">
        <v>163.8</v>
      </c>
      <c r="N27" s="9">
        <v>163.8</v>
      </c>
      <c r="O27" s="10">
        <v>154.2</v>
      </c>
      <c r="P27" s="9">
        <f>AVERAGE(P26/P10)*1000</f>
        <v>159.77810327091768</v>
      </c>
      <c r="Q27" s="8"/>
      <c r="R27" s="51">
        <f>SUM(S27,V27)</f>
        <v>7767.1716</v>
      </c>
      <c r="S27" s="10">
        <f>AVERAGE(S28*S10)/1000</f>
        <v>548.7216000000001</v>
      </c>
      <c r="T27" s="10">
        <f>AVERAGE(T28*T10)/1000</f>
        <v>1343.7556160000001</v>
      </c>
      <c r="U27" s="10">
        <f>AVERAGE(U28*U10)/1000</f>
        <v>5804.212288000001</v>
      </c>
      <c r="V27" s="58">
        <v>7218.45</v>
      </c>
      <c r="W27" s="51">
        <f>SUM(X27,Y27)</f>
        <v>8107.478848000001</v>
      </c>
      <c r="X27" s="10">
        <f>AVERAGE(X28*X10/1000)</f>
        <v>695.837632</v>
      </c>
      <c r="Y27" s="10">
        <f>AVERAGE(Y28*Y10/1000)</f>
        <v>7411.641216000001</v>
      </c>
    </row>
    <row r="28" spans="2:25" ht="16.5" customHeight="1">
      <c r="B28" s="33"/>
      <c r="C28" s="32" t="s">
        <v>53</v>
      </c>
      <c r="D28" s="9">
        <f>AVERAGE(D27/D10)*1000</f>
        <v>155.44937034024696</v>
      </c>
      <c r="E28" s="5">
        <v>163.8</v>
      </c>
      <c r="F28" s="10">
        <v>154.2</v>
      </c>
      <c r="G28" s="9">
        <f>SUM(H28+K28)/2</f>
        <v>151.6086</v>
      </c>
      <c r="H28" s="9">
        <f>AVERAGE(132.99*1.14)</f>
        <v>151.6086</v>
      </c>
      <c r="I28" s="9">
        <f>AVERAGE(132.99*1.14)</f>
        <v>151.6086</v>
      </c>
      <c r="J28" s="9">
        <f>AVERAGE(132.99*1.14)</f>
        <v>151.6086</v>
      </c>
      <c r="K28" s="9">
        <f>AVERAGE(132.99*1.14)</f>
        <v>151.6086</v>
      </c>
      <c r="L28" s="9"/>
      <c r="M28" s="10"/>
      <c r="N28" s="10"/>
      <c r="O28" s="10"/>
      <c r="P28" s="11"/>
      <c r="Q28" s="8"/>
      <c r="R28" s="51">
        <v>156.8</v>
      </c>
      <c r="S28" s="9">
        <v>156.8</v>
      </c>
      <c r="T28" s="9">
        <v>156.8</v>
      </c>
      <c r="U28" s="9">
        <v>156.8</v>
      </c>
      <c r="V28" s="39">
        <v>156.8</v>
      </c>
      <c r="W28" s="51">
        <v>156.8</v>
      </c>
      <c r="X28" s="9">
        <v>156.8</v>
      </c>
      <c r="Y28" s="39">
        <v>156.8</v>
      </c>
    </row>
    <row r="29" spans="2:25" ht="27.75" customHeight="1">
      <c r="B29" s="24" t="s">
        <v>54</v>
      </c>
      <c r="C29" s="32" t="s">
        <v>55</v>
      </c>
      <c r="D29" s="9">
        <f>SUM(E29+F29)</f>
        <v>2347.1559887999997</v>
      </c>
      <c r="E29" s="9">
        <f>SUM(E30+E34)</f>
        <v>310.6359616</v>
      </c>
      <c r="F29" s="9">
        <f>SUM(F30+F34)</f>
        <v>2036.5200271999997</v>
      </c>
      <c r="G29" s="9">
        <f>SUM(H29:J29)</f>
        <v>1738.87186759</v>
      </c>
      <c r="H29" s="9">
        <f>SUM(H30+H34+H43)</f>
        <v>108.997250619844</v>
      </c>
      <c r="I29" s="9">
        <f>SUM(I30+I34+I43)</f>
        <v>446.55911037463596</v>
      </c>
      <c r="J29" s="9">
        <f>SUM(J30+J34+J43)</f>
        <v>1183.31550659552</v>
      </c>
      <c r="K29" s="9">
        <f>SUM(I29:J29)</f>
        <v>1629.874616970156</v>
      </c>
      <c r="L29" s="9">
        <f>SUM(M29+P29)</f>
        <v>2134.05512384</v>
      </c>
      <c r="M29" s="9">
        <f>SUM(M30+M34)</f>
        <v>196.55512384</v>
      </c>
      <c r="N29" s="9" t="e">
        <f>SUM(N30+N34)</f>
        <v>#REF!</v>
      </c>
      <c r="O29" s="9" t="e">
        <f>SUM(O30+O34)</f>
        <v>#REF!</v>
      </c>
      <c r="P29" s="11">
        <v>1937.5</v>
      </c>
      <c r="Q29" s="8"/>
      <c r="R29" s="51">
        <f>SUM(S29+V29)</f>
        <v>1972.4201425808158</v>
      </c>
      <c r="S29" s="9">
        <f>SUM(S30,S34,S43)</f>
        <v>170.75109236871998</v>
      </c>
      <c r="T29" s="9">
        <f>SUM(T30,T34,T43)</f>
        <v>374.945174336096</v>
      </c>
      <c r="U29" s="9">
        <f>SUM(U30,U34,U43)</f>
        <v>1426.723875876</v>
      </c>
      <c r="V29" s="39">
        <f>SUM(V30,V34,V43)</f>
        <v>1801.6690502120957</v>
      </c>
      <c r="W29" s="51">
        <f>SUM(X29+Y29)</f>
        <v>2168.07</v>
      </c>
      <c r="X29" s="9">
        <v>199.85</v>
      </c>
      <c r="Y29" s="39">
        <v>1968.22</v>
      </c>
    </row>
    <row r="30" spans="2:25" ht="18" customHeight="1">
      <c r="B30" s="33" t="s">
        <v>56</v>
      </c>
      <c r="C30" s="31" t="s">
        <v>57</v>
      </c>
      <c r="D30" s="9">
        <v>2169.76</v>
      </c>
      <c r="E30" s="9">
        <f>PRODUCT(E31*E33)/1000</f>
        <v>282.33596159999996</v>
      </c>
      <c r="F30" s="9">
        <f>PRODUCT(F31*F33)/1000</f>
        <v>1887.0970271999997</v>
      </c>
      <c r="G30" s="9">
        <f>SUM(H30:J30)</f>
        <v>830.0662316800001</v>
      </c>
      <c r="H30" s="13">
        <f>PRODUCT(H31*H33)/1000</f>
        <v>42.167364569344</v>
      </c>
      <c r="I30" s="13">
        <f>PRODUCT(I31*I33)/1000</f>
        <v>215.983233483136</v>
      </c>
      <c r="J30" s="13">
        <f>PRODUCT(J31*J33)/1000</f>
        <v>571.91563362752</v>
      </c>
      <c r="K30" s="11">
        <f>SUM(I30:J30)</f>
        <v>787.898867110656</v>
      </c>
      <c r="L30" s="9">
        <f>SUM(M30+P30)</f>
        <v>1926.3414297599995</v>
      </c>
      <c r="M30" s="9">
        <f>PRODUCT(M31*M33)/1000</f>
        <v>168.70512384</v>
      </c>
      <c r="N30" s="9">
        <f>PRODUCT(N31*N33)/1000</f>
        <v>346.1322585599999</v>
      </c>
      <c r="O30" s="9">
        <f>PRODUCT(O31*O33)/1000</f>
        <v>1411.5040473599997</v>
      </c>
      <c r="P30" s="11">
        <f>SUM(N30:O30)</f>
        <v>1757.6363059199996</v>
      </c>
      <c r="Q30" s="8"/>
      <c r="R30" s="51">
        <f>SUM(S30,V30)</f>
        <v>1061.6873689761999</v>
      </c>
      <c r="S30" s="9">
        <v>89.53</v>
      </c>
      <c r="T30" s="9">
        <f>PRODUCT(T31*T33)/1000</f>
        <v>182.7571054798</v>
      </c>
      <c r="U30" s="9">
        <f>PRODUCT(U31*U33)/1000</f>
        <v>789.4002634963999</v>
      </c>
      <c r="V30" s="39">
        <f>SUM(T30,U30)</f>
        <v>972.1573689761999</v>
      </c>
      <c r="W30" s="51">
        <f>SUM(X30,Y30)</f>
        <v>1113.07</v>
      </c>
      <c r="X30" s="9">
        <v>95.56</v>
      </c>
      <c r="Y30" s="39">
        <v>1017.51</v>
      </c>
    </row>
    <row r="31" spans="2:25" ht="18" customHeight="1">
      <c r="B31" s="33"/>
      <c r="C31" s="59" t="s">
        <v>58</v>
      </c>
      <c r="D31" s="11">
        <f>SUM(E31:F31)</f>
        <v>82175.49199999998</v>
      </c>
      <c r="E31" s="14">
        <f>PRODUCT(E32*E10)</f>
        <v>10694.544</v>
      </c>
      <c r="F31" s="14">
        <f>PRODUCT(F32*F10)</f>
        <v>71480.94799999999</v>
      </c>
      <c r="G31" s="16">
        <f>PRODUCT(G32*G10)</f>
        <v>57325.016</v>
      </c>
      <c r="H31" s="14">
        <f>PRODUCT(G31*0.0508)</f>
        <v>2912.1108128</v>
      </c>
      <c r="I31" s="14">
        <f>PRODUCT(G31*0.2602)</f>
        <v>14915.9691632</v>
      </c>
      <c r="J31" s="14">
        <f>PRODUCT(G31*0.689)</f>
        <v>39496.936024</v>
      </c>
      <c r="K31" s="14">
        <f>PRODUCT(G31*0.9492)</f>
        <v>54412.905187200005</v>
      </c>
      <c r="L31" s="11">
        <f>SUM(M31+P31)</f>
        <v>72967.4456</v>
      </c>
      <c r="M31" s="14">
        <f>PRODUCT(M32*M10)</f>
        <v>6390.3456</v>
      </c>
      <c r="N31" s="14">
        <f>PRODUCT(N32*N10)</f>
        <v>13111.070399999999</v>
      </c>
      <c r="O31" s="14">
        <f>PRODUCT(O32*O10)</f>
        <v>53466.062399999995</v>
      </c>
      <c r="P31" s="11">
        <v>66577.1</v>
      </c>
      <c r="Q31" s="8"/>
      <c r="R31" s="51">
        <f>SUM(S31,V31)</f>
        <v>70585.71114</v>
      </c>
      <c r="S31" s="11">
        <f>AVERAGE(S32*S10)</f>
        <v>5032.281</v>
      </c>
      <c r="T31" s="14">
        <f>PRODUCT(T32*T10)</f>
        <v>12323.47306</v>
      </c>
      <c r="U31" s="14">
        <f>PRODUCT(U32*U10)</f>
        <v>53229.95708</v>
      </c>
      <c r="V31" s="50">
        <f>SUM(T31,U31)</f>
        <v>65553.43014</v>
      </c>
      <c r="W31" s="51">
        <f>SUM(X31,Y31)</f>
        <v>74353.03</v>
      </c>
      <c r="X31" s="11">
        <v>6383.35</v>
      </c>
      <c r="Y31" s="39">
        <v>67969.68</v>
      </c>
    </row>
    <row r="32" spans="2:25" ht="15.75" customHeight="1">
      <c r="B32" s="33"/>
      <c r="C32" s="59" t="s">
        <v>59</v>
      </c>
      <c r="D32" s="5">
        <v>1.4</v>
      </c>
      <c r="E32" s="5">
        <v>1.4</v>
      </c>
      <c r="F32" s="5">
        <v>1.4</v>
      </c>
      <c r="G32" s="5">
        <v>1.4</v>
      </c>
      <c r="H32" s="15">
        <v>1.4</v>
      </c>
      <c r="I32" s="15">
        <v>1.4</v>
      </c>
      <c r="J32" s="15">
        <v>1.4</v>
      </c>
      <c r="K32" s="11">
        <v>1.4</v>
      </c>
      <c r="L32" s="5">
        <v>1.44</v>
      </c>
      <c r="M32" s="13">
        <v>1.44</v>
      </c>
      <c r="N32" s="13">
        <v>1.44</v>
      </c>
      <c r="O32" s="13">
        <v>1.44</v>
      </c>
      <c r="P32" s="9">
        <v>1.44</v>
      </c>
      <c r="Q32" s="8"/>
      <c r="R32" s="49">
        <v>1.438</v>
      </c>
      <c r="S32" s="60">
        <v>1.438</v>
      </c>
      <c r="T32" s="60">
        <v>1.438</v>
      </c>
      <c r="U32" s="60">
        <v>1.438</v>
      </c>
      <c r="V32" s="61">
        <v>1.438</v>
      </c>
      <c r="W32" s="49">
        <v>1.438</v>
      </c>
      <c r="X32" s="60">
        <v>1.438</v>
      </c>
      <c r="Y32" s="61">
        <v>1.438</v>
      </c>
    </row>
    <row r="33" spans="2:25" ht="15.75" customHeight="1">
      <c r="B33" s="33"/>
      <c r="C33" s="59" t="s">
        <v>60</v>
      </c>
      <c r="D33" s="9">
        <v>26.4</v>
      </c>
      <c r="E33" s="13">
        <v>26.4</v>
      </c>
      <c r="F33" s="18">
        <v>26.4</v>
      </c>
      <c r="G33" s="9">
        <v>14.48</v>
      </c>
      <c r="H33" s="10">
        <v>14.48</v>
      </c>
      <c r="I33" s="10">
        <v>14.48</v>
      </c>
      <c r="J33" s="10">
        <v>14.48</v>
      </c>
      <c r="K33" s="10">
        <v>14.48</v>
      </c>
      <c r="L33" s="9">
        <v>26.4</v>
      </c>
      <c r="M33" s="10">
        <v>26.4</v>
      </c>
      <c r="N33" s="10">
        <v>26.4</v>
      </c>
      <c r="O33" s="10">
        <v>26.4</v>
      </c>
      <c r="P33" s="11">
        <v>52.8</v>
      </c>
      <c r="Q33" s="8"/>
      <c r="R33" s="51">
        <v>14.83</v>
      </c>
      <c r="S33" s="9">
        <v>14.83</v>
      </c>
      <c r="T33" s="9">
        <v>14.83</v>
      </c>
      <c r="U33" s="9">
        <v>14.83</v>
      </c>
      <c r="V33" s="39">
        <v>14.83</v>
      </c>
      <c r="W33" s="51">
        <v>14.97</v>
      </c>
      <c r="X33" s="9">
        <v>14.97</v>
      </c>
      <c r="Y33" s="39">
        <v>14.97</v>
      </c>
    </row>
    <row r="34" spans="2:25" ht="27" customHeight="1">
      <c r="B34" s="33" t="s">
        <v>61</v>
      </c>
      <c r="C34" s="32" t="s">
        <v>62</v>
      </c>
      <c r="D34" s="9">
        <v>171.59</v>
      </c>
      <c r="E34" s="10">
        <v>28.3</v>
      </c>
      <c r="F34" s="10">
        <v>149.423</v>
      </c>
      <c r="G34" s="9">
        <f>SUM(H34:J34)</f>
        <v>133.19774999999998</v>
      </c>
      <c r="H34" s="10">
        <f>PRODUCT(H35*H36+H37*H38+H39*H40+H41*H42)/1000</f>
        <v>27.4290242205</v>
      </c>
      <c r="I34" s="10">
        <f>PRODUCT(I35*I36+I37*I38+I39*I40+I41*I42)/1000</f>
        <v>28.7623968915</v>
      </c>
      <c r="J34" s="10">
        <f>PRODUCT(J35*J36+J37*J38+J39*J40+J41*J42)/1000</f>
        <v>77.006328888</v>
      </c>
      <c r="K34" s="11">
        <f>SUM(I34:J34)</f>
        <v>105.7687257795</v>
      </c>
      <c r="L34" s="9" t="e">
        <f>SUM(M34+P34)</f>
        <v>#REF!</v>
      </c>
      <c r="M34" s="10">
        <v>27.85</v>
      </c>
      <c r="N34" s="10" t="e">
        <f>SUM(N35*N36+N37*#REF!+N39*N40+N41*N42)/1000</f>
        <v>#REF!</v>
      </c>
      <c r="O34" s="10" t="e">
        <f>SUM(O35*O36+O37*#REF!+O39*O40+O41*O42)/1000</f>
        <v>#REF!</v>
      </c>
      <c r="P34" s="11" t="e">
        <f>SUM(N34:O34)</f>
        <v>#REF!</v>
      </c>
      <c r="Q34" s="8"/>
      <c r="R34" s="51">
        <f>SUM(S34,V34)</f>
        <v>214.051804652816</v>
      </c>
      <c r="S34" s="9">
        <f>SUM(S35*S36,S39*S40,S41*S42,S37*S38)/1000</f>
        <v>31.55247889872</v>
      </c>
      <c r="T34" s="9">
        <f>SUM(T35*T36,T39*T40,T41*T42,T37*T38)/1000</f>
        <v>70.55538975409598</v>
      </c>
      <c r="U34" s="9">
        <f>SUM(U35*U36,U39*U40,U41*U42,U37*U38)/1000</f>
        <v>111.943936</v>
      </c>
      <c r="V34" s="39">
        <f>SUM(T34,U34)</f>
        <v>182.499325754096</v>
      </c>
      <c r="W34" s="51">
        <f>SUM(X34,Y34)</f>
        <v>207.38000000000002</v>
      </c>
      <c r="X34" s="9">
        <v>31.52</v>
      </c>
      <c r="Y34" s="39">
        <v>175.86</v>
      </c>
    </row>
    <row r="35" spans="2:25" ht="18" customHeight="1">
      <c r="B35" s="33" t="s">
        <v>63</v>
      </c>
      <c r="C35" s="35" t="s">
        <v>64</v>
      </c>
      <c r="D35" s="9">
        <v>102.66</v>
      </c>
      <c r="E35" s="13">
        <f>PRODUCT(D35*0.1301)</f>
        <v>13.356065999999998</v>
      </c>
      <c r="F35" s="13">
        <f>PRODUCT(D35*0.8699)</f>
        <v>89.303934</v>
      </c>
      <c r="G35" s="9">
        <v>60</v>
      </c>
      <c r="H35" s="13">
        <v>6.84</v>
      </c>
      <c r="I35" s="13">
        <v>14.46</v>
      </c>
      <c r="J35" s="13">
        <v>38.7</v>
      </c>
      <c r="K35" s="11">
        <f>SUM(I35:J35)</f>
        <v>53.160000000000004</v>
      </c>
      <c r="L35" s="9">
        <f>SUM(M35+P35)</f>
        <v>102.334834</v>
      </c>
      <c r="M35" s="13">
        <f>PRODUCT(36.42*0.3277)</f>
        <v>11.934834</v>
      </c>
      <c r="N35" s="13">
        <f>SUM(36.42-M35)</f>
        <v>24.485166</v>
      </c>
      <c r="O35" s="13">
        <v>65.89</v>
      </c>
      <c r="P35" s="11">
        <v>90.4</v>
      </c>
      <c r="Q35" s="8"/>
      <c r="R35" s="51">
        <v>85.9</v>
      </c>
      <c r="S35" s="13">
        <v>11.53</v>
      </c>
      <c r="T35" s="13">
        <f>SUM(36.42-S35)</f>
        <v>24.89</v>
      </c>
      <c r="U35" s="13">
        <v>49.48</v>
      </c>
      <c r="V35" s="39">
        <f>SUM(T35+U35)</f>
        <v>74.37</v>
      </c>
      <c r="W35" s="51">
        <v>85.9</v>
      </c>
      <c r="X35" s="13">
        <v>11.53</v>
      </c>
      <c r="Y35" s="39">
        <v>77.09</v>
      </c>
    </row>
    <row r="36" spans="2:25" ht="18" customHeight="1">
      <c r="B36" s="33"/>
      <c r="C36" s="35" t="s">
        <v>65</v>
      </c>
      <c r="D36" s="9">
        <v>1350</v>
      </c>
      <c r="E36" s="5">
        <v>1350</v>
      </c>
      <c r="F36" s="5">
        <v>1350</v>
      </c>
      <c r="G36" s="9">
        <f>PRODUCT(G34/G35)*1000</f>
        <v>2219.9624999999996</v>
      </c>
      <c r="H36" s="5">
        <v>1853.33</v>
      </c>
      <c r="I36" s="5">
        <v>1853.33</v>
      </c>
      <c r="J36" s="5">
        <v>1853.33</v>
      </c>
      <c r="K36" s="11">
        <f>SUM(I36:J36)/2</f>
        <v>1853.33</v>
      </c>
      <c r="L36" s="9">
        <v>1853</v>
      </c>
      <c r="M36" s="9">
        <v>1853</v>
      </c>
      <c r="N36" s="9" t="e">
        <f>SUM(O36+#REF!)</f>
        <v>#REF!</v>
      </c>
      <c r="O36" s="5">
        <v>1853</v>
      </c>
      <c r="P36" s="11">
        <v>1853</v>
      </c>
      <c r="Q36" s="8"/>
      <c r="R36" s="51">
        <v>2062.424</v>
      </c>
      <c r="S36" s="9">
        <v>2062.424</v>
      </c>
      <c r="T36" s="9">
        <v>2062.424</v>
      </c>
      <c r="U36" s="9">
        <v>2062.424</v>
      </c>
      <c r="V36" s="39">
        <v>2062.424</v>
      </c>
      <c r="W36" s="51">
        <v>2042.59</v>
      </c>
      <c r="X36" s="51">
        <v>2042.59</v>
      </c>
      <c r="Y36" s="51">
        <v>2042.59</v>
      </c>
    </row>
    <row r="37" spans="2:25" ht="18" customHeight="1">
      <c r="B37" s="33" t="s">
        <v>66</v>
      </c>
      <c r="C37" s="5" t="s">
        <v>67</v>
      </c>
      <c r="D37" s="9">
        <v>0.5</v>
      </c>
      <c r="E37" s="10">
        <f>PRODUCT(D37*0.1301)</f>
        <v>0.06505</v>
      </c>
      <c r="F37" s="10">
        <f>PRODUCT(D37*0.8699)</f>
        <v>0.43495</v>
      </c>
      <c r="G37" s="9">
        <v>0.15</v>
      </c>
      <c r="H37" s="13">
        <f>PRODUCT(G37*0.113)</f>
        <v>0.01695</v>
      </c>
      <c r="I37" s="13">
        <f>PRODUCT(G37*0.238)</f>
        <v>0.035699999999999996</v>
      </c>
      <c r="J37" s="13">
        <f>PRODUCT(PRODUCT(G37*0.649))</f>
        <v>0.09735</v>
      </c>
      <c r="K37" s="9">
        <f>SUM(I37:J37)</f>
        <v>0.13305</v>
      </c>
      <c r="L37" s="9">
        <f>SUM(M37+P37)</f>
        <v>0.485202</v>
      </c>
      <c r="M37" s="13">
        <f>PRODUCT(0.26*0.3277)</f>
        <v>0.085202</v>
      </c>
      <c r="N37" s="13">
        <f>SUM(0.26-M37)</f>
        <v>0.174798</v>
      </c>
      <c r="O37" s="5">
        <v>0.26</v>
      </c>
      <c r="P37" s="11">
        <v>0.4</v>
      </c>
      <c r="Q37" s="8"/>
      <c r="R37" s="51">
        <f>SUM(S37,V37)</f>
        <v>0.5</v>
      </c>
      <c r="S37" s="13">
        <v>0.07</v>
      </c>
      <c r="T37" s="13">
        <f>SUM(0.26-S37)</f>
        <v>0.19</v>
      </c>
      <c r="U37" s="5">
        <v>0.26</v>
      </c>
      <c r="V37" s="39">
        <v>0.43</v>
      </c>
      <c r="W37" s="51">
        <f>SUM(X37,Y37)</f>
        <v>0.5</v>
      </c>
      <c r="X37" s="13">
        <v>0.07</v>
      </c>
      <c r="Y37" s="39">
        <v>0.43</v>
      </c>
    </row>
    <row r="38" spans="2:25" ht="18" customHeight="1">
      <c r="B38" s="33"/>
      <c r="C38" s="5" t="s">
        <v>68</v>
      </c>
      <c r="D38" s="9">
        <v>31427.33</v>
      </c>
      <c r="E38" s="10">
        <v>31427.33</v>
      </c>
      <c r="F38" s="10">
        <v>31427.33</v>
      </c>
      <c r="G38" s="9">
        <v>29760.73</v>
      </c>
      <c r="H38" s="10">
        <v>29760.73</v>
      </c>
      <c r="I38" s="10">
        <v>29760.73</v>
      </c>
      <c r="J38" s="10">
        <v>29760.73</v>
      </c>
      <c r="K38" s="11">
        <f>SUM(I38:J38)/2</f>
        <v>29760.73</v>
      </c>
      <c r="L38" s="9">
        <v>31427.33</v>
      </c>
      <c r="M38" s="9">
        <v>31427.33</v>
      </c>
      <c r="N38" s="9" t="e">
        <f>SUM(O38+#REF!)</f>
        <v>#REF!</v>
      </c>
      <c r="O38" s="10">
        <v>31427.33</v>
      </c>
      <c r="P38" s="11">
        <v>31427.33</v>
      </c>
      <c r="Q38" s="8"/>
      <c r="R38" s="51">
        <v>34972.288</v>
      </c>
      <c r="S38" s="9">
        <v>34972.288</v>
      </c>
      <c r="T38" s="9">
        <v>34972.288</v>
      </c>
      <c r="U38" s="9">
        <v>34972.288</v>
      </c>
      <c r="V38" s="39">
        <v>34972.288</v>
      </c>
      <c r="W38" s="51">
        <v>34636.02</v>
      </c>
      <c r="X38" s="51">
        <v>34636.02</v>
      </c>
      <c r="Y38" s="51">
        <v>34636.02</v>
      </c>
    </row>
    <row r="39" spans="2:25" ht="18" customHeight="1">
      <c r="B39" s="33" t="s">
        <v>69</v>
      </c>
      <c r="C39" s="5" t="s">
        <v>70</v>
      </c>
      <c r="D39" s="9">
        <v>50.82</v>
      </c>
      <c r="E39" s="10">
        <f>PRODUCT(D39*0.1301)</f>
        <v>6.611682</v>
      </c>
      <c r="F39" s="10">
        <f>PRODUCT(D39*0.8699)</f>
        <v>44.208318</v>
      </c>
      <c r="G39" s="9">
        <v>49.35</v>
      </c>
      <c r="H39" s="5">
        <f>AVERAGE(G39*0.0508)</f>
        <v>2.50698</v>
      </c>
      <c r="I39" s="5">
        <f>AVERAGE(G39*0.2602)</f>
        <v>12.840869999999999</v>
      </c>
      <c r="J39" s="5">
        <f>AVERAGE(G39*0.689)</f>
        <v>34.00215</v>
      </c>
      <c r="K39" s="11">
        <f aca="true" t="shared" si="4" ref="K39:K46">SUM(I39:J39)</f>
        <v>46.843019999999996</v>
      </c>
      <c r="L39" s="9">
        <f>SUM(M39+P39)</f>
        <v>50.81999999999999</v>
      </c>
      <c r="M39" s="13">
        <f>PRODUCT(40.8*0.3277)</f>
        <v>13.370159999999998</v>
      </c>
      <c r="N39" s="13">
        <f>SUM(40.8-M39)</f>
        <v>27.42984</v>
      </c>
      <c r="O39" s="5">
        <v>10.02</v>
      </c>
      <c r="P39" s="11">
        <f>SUM(N39:O39)</f>
        <v>37.449839999999995</v>
      </c>
      <c r="Q39" s="8"/>
      <c r="R39" s="51">
        <f>SUM(S39,V39)</f>
        <v>50.82</v>
      </c>
      <c r="S39" s="13">
        <v>6.61</v>
      </c>
      <c r="T39" s="13">
        <f>SUM(40.8-S39)</f>
        <v>34.19</v>
      </c>
      <c r="U39" s="5">
        <v>10.02</v>
      </c>
      <c r="V39" s="39">
        <v>44.21</v>
      </c>
      <c r="W39" s="51">
        <f>SUM(X39,Y39)</f>
        <v>50.82</v>
      </c>
      <c r="X39" s="13">
        <v>6.61</v>
      </c>
      <c r="Y39" s="39">
        <v>44.21</v>
      </c>
    </row>
    <row r="40" spans="2:25" ht="28.5" customHeight="1">
      <c r="B40" s="33"/>
      <c r="C40" s="32" t="s">
        <v>71</v>
      </c>
      <c r="D40" s="9">
        <v>60.25</v>
      </c>
      <c r="E40" s="10">
        <v>60.25</v>
      </c>
      <c r="F40" s="10">
        <v>60.25</v>
      </c>
      <c r="G40" s="9">
        <v>70.15</v>
      </c>
      <c r="H40" s="10">
        <v>70.15</v>
      </c>
      <c r="I40" s="10">
        <v>70.15</v>
      </c>
      <c r="J40" s="10">
        <v>70.15</v>
      </c>
      <c r="K40" s="11">
        <v>70.15</v>
      </c>
      <c r="L40" s="9">
        <v>69</v>
      </c>
      <c r="M40" s="10">
        <v>69</v>
      </c>
      <c r="N40" s="10" t="e">
        <f>SUM(O40+#REF!)</f>
        <v>#REF!</v>
      </c>
      <c r="O40" s="10">
        <v>69</v>
      </c>
      <c r="P40" s="11">
        <v>69</v>
      </c>
      <c r="Q40" s="8"/>
      <c r="R40" s="51">
        <v>80.08</v>
      </c>
      <c r="S40" s="9">
        <v>80.08</v>
      </c>
      <c r="T40" s="9">
        <v>80.08</v>
      </c>
      <c r="U40" s="9">
        <v>80.08</v>
      </c>
      <c r="V40" s="39">
        <v>80.08</v>
      </c>
      <c r="W40" s="51">
        <v>79.31</v>
      </c>
      <c r="X40" s="51">
        <v>79.31</v>
      </c>
      <c r="Y40" s="51">
        <v>79.31</v>
      </c>
    </row>
    <row r="41" spans="2:25" ht="18" customHeight="1">
      <c r="B41" s="33"/>
      <c r="C41" s="35" t="s">
        <v>72</v>
      </c>
      <c r="D41" s="9">
        <v>0.6</v>
      </c>
      <c r="E41" s="5">
        <v>0.6</v>
      </c>
      <c r="F41" s="5">
        <v>0</v>
      </c>
      <c r="G41" s="9">
        <f>SUM(H41:J41)</f>
        <v>0.6</v>
      </c>
      <c r="H41" s="5">
        <v>0.6</v>
      </c>
      <c r="I41" s="5"/>
      <c r="J41" s="5"/>
      <c r="K41" s="11">
        <f t="shared" si="4"/>
        <v>0</v>
      </c>
      <c r="L41" s="9">
        <f>SUM(M41+P41)</f>
        <v>0.59662</v>
      </c>
      <c r="M41" s="13">
        <f>PRODUCT(0.6*0.3277)</f>
        <v>0.19662</v>
      </c>
      <c r="N41" s="13">
        <f>SUM(0.6-M41)</f>
        <v>0.40337999999999996</v>
      </c>
      <c r="O41" s="5"/>
      <c r="P41" s="11">
        <v>0.4</v>
      </c>
      <c r="Q41" s="8"/>
      <c r="R41" s="51">
        <f>SUM(S41+V41)</f>
        <v>0.1966</v>
      </c>
      <c r="S41" s="13">
        <v>0.1966</v>
      </c>
      <c r="T41" s="13">
        <v>0.40338</v>
      </c>
      <c r="U41" s="5"/>
      <c r="V41" s="50">
        <v>0</v>
      </c>
      <c r="W41" s="51">
        <f>SUM(X41+Y41)</f>
        <v>0.1966</v>
      </c>
      <c r="X41" s="13">
        <v>0.1966</v>
      </c>
      <c r="Y41" s="50">
        <v>0</v>
      </c>
    </row>
    <row r="42" spans="2:25" ht="28.5" customHeight="1">
      <c r="B42" s="33"/>
      <c r="C42" s="32" t="s">
        <v>73</v>
      </c>
      <c r="D42" s="9">
        <v>23453.23</v>
      </c>
      <c r="E42" s="10">
        <v>23453.23</v>
      </c>
      <c r="F42" s="10">
        <v>23453.23</v>
      </c>
      <c r="G42" s="9">
        <v>23453.23</v>
      </c>
      <c r="H42" s="10">
        <v>23453.23</v>
      </c>
      <c r="I42" s="10"/>
      <c r="J42" s="10"/>
      <c r="K42" s="11">
        <f t="shared" si="4"/>
        <v>0</v>
      </c>
      <c r="L42" s="9">
        <v>24453.23</v>
      </c>
      <c r="M42" s="10">
        <v>24453.23</v>
      </c>
      <c r="N42" s="10">
        <v>24453.23</v>
      </c>
      <c r="O42" s="10">
        <v>0</v>
      </c>
      <c r="P42" s="11">
        <v>24453.23</v>
      </c>
      <c r="Q42" s="8"/>
      <c r="R42" s="51">
        <v>24391.3592</v>
      </c>
      <c r="S42" s="9">
        <v>24391.3592</v>
      </c>
      <c r="T42" s="9">
        <v>24391.3592</v>
      </c>
      <c r="U42" s="9">
        <v>24391.3592</v>
      </c>
      <c r="V42" s="50">
        <v>24391.3592</v>
      </c>
      <c r="W42" s="51">
        <v>25095</v>
      </c>
      <c r="X42" s="51">
        <v>25095</v>
      </c>
      <c r="Y42" s="51">
        <v>25095</v>
      </c>
    </row>
    <row r="43" spans="2:25" ht="18" customHeight="1">
      <c r="B43" s="33" t="s">
        <v>74</v>
      </c>
      <c r="C43" s="32" t="s">
        <v>75</v>
      </c>
      <c r="D43" s="9"/>
      <c r="E43" s="10"/>
      <c r="F43" s="10"/>
      <c r="G43" s="9">
        <f>AVERAGE(G44*13.53)/1000</f>
        <v>775.60739883</v>
      </c>
      <c r="H43" s="10">
        <f>AVERAGE(H44*13.53)/1000</f>
        <v>39.40086183</v>
      </c>
      <c r="I43" s="10">
        <f>AVERAGE(I44*13.53)/1000</f>
        <v>201.81347999999997</v>
      </c>
      <c r="J43" s="10">
        <f>AVERAGE(J44*13.53)/1000</f>
        <v>534.39354408</v>
      </c>
      <c r="K43" s="11">
        <f>AVERAGE(K44*13.53)/1000</f>
        <v>736.206537</v>
      </c>
      <c r="L43" s="9"/>
      <c r="M43" s="10"/>
      <c r="N43" s="10"/>
      <c r="O43" s="10"/>
      <c r="P43" s="11"/>
      <c r="Q43" s="8"/>
      <c r="R43" s="51">
        <f>SUM(S43+V43)</f>
        <v>696.6809689517999</v>
      </c>
      <c r="S43" s="62">
        <f>AVERAGE(S44*S45)/1000</f>
        <v>49.66861347</v>
      </c>
      <c r="T43" s="9">
        <f>AVERAGE(T44*T45)/1000</f>
        <v>121.6326791022</v>
      </c>
      <c r="U43" s="9">
        <f>AVERAGE(U44*U45)/1000</f>
        <v>525.3796763795999</v>
      </c>
      <c r="V43" s="39">
        <f>SUM(T43,U43)</f>
        <v>647.0123554817999</v>
      </c>
      <c r="W43" s="51">
        <f>SUM(X43+Y43)</f>
        <v>847.62</v>
      </c>
      <c r="X43" s="62">
        <v>72.77</v>
      </c>
      <c r="Y43" s="39">
        <v>774.85</v>
      </c>
    </row>
    <row r="44" spans="2:25" ht="18" customHeight="1">
      <c r="B44" s="33"/>
      <c r="C44" s="32" t="s">
        <v>76</v>
      </c>
      <c r="D44" s="9"/>
      <c r="E44" s="10"/>
      <c r="F44" s="10"/>
      <c r="G44" s="9">
        <f>SUM(H44+K44)</f>
        <v>57325.011</v>
      </c>
      <c r="H44" s="10">
        <v>2912.111</v>
      </c>
      <c r="I44" s="10">
        <v>14916</v>
      </c>
      <c r="J44" s="10">
        <v>39496.936</v>
      </c>
      <c r="K44" s="11">
        <v>54412.9</v>
      </c>
      <c r="L44" s="9"/>
      <c r="M44" s="10"/>
      <c r="N44" s="10"/>
      <c r="O44" s="10"/>
      <c r="P44" s="11"/>
      <c r="Q44" s="8"/>
      <c r="R44" s="51">
        <f>SUM(S44+V44)</f>
        <v>70585.71114</v>
      </c>
      <c r="S44" s="11">
        <f>SUM(S31)</f>
        <v>5032.281</v>
      </c>
      <c r="T44" s="11">
        <f>SUM(T31)</f>
        <v>12323.47306</v>
      </c>
      <c r="U44" s="11">
        <f>SUM(U31)</f>
        <v>53229.95708</v>
      </c>
      <c r="V44" s="50">
        <f>SUM(V31)</f>
        <v>65553.43014</v>
      </c>
      <c r="W44" s="51">
        <f>SUM(X44+Y44)</f>
        <v>74353.03</v>
      </c>
      <c r="X44" s="11">
        <f>SUM(X31)</f>
        <v>6383.35</v>
      </c>
      <c r="Y44" s="50">
        <f>SUM(Y31)</f>
        <v>67969.68</v>
      </c>
    </row>
    <row r="45" spans="2:25" ht="18" customHeight="1">
      <c r="B45" s="33"/>
      <c r="C45" s="32" t="s">
        <v>77</v>
      </c>
      <c r="D45" s="9"/>
      <c r="E45" s="10"/>
      <c r="F45" s="10"/>
      <c r="G45" s="9">
        <v>13.53</v>
      </c>
      <c r="H45" s="10">
        <v>13.53</v>
      </c>
      <c r="I45" s="10">
        <v>13.53</v>
      </c>
      <c r="J45" s="10">
        <v>13.53</v>
      </c>
      <c r="K45" s="11">
        <v>13.53</v>
      </c>
      <c r="L45" s="9"/>
      <c r="M45" s="10"/>
      <c r="N45" s="10"/>
      <c r="O45" s="10"/>
      <c r="P45" s="11"/>
      <c r="Q45" s="8"/>
      <c r="R45" s="49">
        <v>9.87</v>
      </c>
      <c r="S45" s="5">
        <v>9.87</v>
      </c>
      <c r="T45" s="5">
        <v>9.87</v>
      </c>
      <c r="U45" s="5">
        <v>9.87</v>
      </c>
      <c r="V45" s="53">
        <v>9.87</v>
      </c>
      <c r="W45" s="49">
        <v>11.4</v>
      </c>
      <c r="X45" s="49">
        <v>11.4</v>
      </c>
      <c r="Y45" s="49">
        <v>11.4</v>
      </c>
    </row>
    <row r="46" spans="2:25" ht="27" customHeight="1">
      <c r="B46" s="24" t="s">
        <v>78</v>
      </c>
      <c r="C46" s="32" t="s">
        <v>79</v>
      </c>
      <c r="D46" s="9">
        <f>SUM(E46+F46)</f>
        <v>3963.7400000000002</v>
      </c>
      <c r="E46" s="9">
        <v>524.59</v>
      </c>
      <c r="F46" s="9">
        <v>3439.15</v>
      </c>
      <c r="G46" s="9" t="e">
        <f>SUM(H46:J46)</f>
        <v>#REF!</v>
      </c>
      <c r="H46" s="9" t="e">
        <f>SUM(#REF!*#REF!+#REF!*#REF!)</f>
        <v>#REF!</v>
      </c>
      <c r="I46" s="9" t="e">
        <f>SUM(#REF!*#REF!+#REF!*#REF!)</f>
        <v>#REF!</v>
      </c>
      <c r="J46" s="9" t="e">
        <f>SUM(#REF!*#REF!+#REF!*#REF!)</f>
        <v>#REF!</v>
      </c>
      <c r="K46" s="9" t="e">
        <f t="shared" si="4"/>
        <v>#REF!</v>
      </c>
      <c r="L46" s="9" t="e">
        <f>SUM(M46+P46)</f>
        <v>#REF!</v>
      </c>
      <c r="M46" s="9" t="e">
        <f>SUM(#REF!*#REF!+#REF!*#REF!)</f>
        <v>#REF!</v>
      </c>
      <c r="N46" s="9" t="e">
        <f>SUM(#REF!*#REF!+#REF!*#REF!)</f>
        <v>#REF!</v>
      </c>
      <c r="O46" s="9" t="e">
        <f>SUM(#REF!*#REF!+#REF!*#REF!)</f>
        <v>#REF!</v>
      </c>
      <c r="P46" s="11" t="e">
        <f>SUM(N46:O46)</f>
        <v>#REF!</v>
      </c>
      <c r="Q46" s="8"/>
      <c r="R46" s="51">
        <f>SUM(S46,V46)</f>
        <v>7009.572999999999</v>
      </c>
      <c r="S46" s="9">
        <f>SUM(S47)</f>
        <v>1003.673</v>
      </c>
      <c r="T46" s="9" t="e">
        <f>SUM(T47)</f>
        <v>#REF!</v>
      </c>
      <c r="U46" s="9" t="e">
        <f>SUM(U47)</f>
        <v>#REF!</v>
      </c>
      <c r="V46" s="39">
        <f>SUM(V47)</f>
        <v>6005.9</v>
      </c>
      <c r="W46" s="51">
        <f>SUM(X46,Y46)</f>
        <v>8140.02</v>
      </c>
      <c r="X46" s="9">
        <v>1142.27</v>
      </c>
      <c r="Y46" s="39">
        <v>6997.75</v>
      </c>
    </row>
    <row r="47" spans="2:25" ht="20.25" customHeight="1">
      <c r="B47" s="33"/>
      <c r="C47" s="32" t="s">
        <v>80</v>
      </c>
      <c r="D47" s="5"/>
      <c r="E47" s="5"/>
      <c r="F47" s="5"/>
      <c r="G47" s="16" t="e">
        <f>SUM(#REF!+#REF!)</f>
        <v>#REF!</v>
      </c>
      <c r="H47" s="16" t="e">
        <f>SUM(#REF!+#REF!)</f>
        <v>#REF!</v>
      </c>
      <c r="I47" s="14" t="e">
        <f>SUM(#REF!+#REF!)</f>
        <v>#REF!</v>
      </c>
      <c r="J47" s="14" t="e">
        <f>SUM(#REF!+#REF!)</f>
        <v>#REF!</v>
      </c>
      <c r="K47" s="16" t="e">
        <f>SUM(#REF!+#REF!)</f>
        <v>#REF!</v>
      </c>
      <c r="L47" s="9" t="e">
        <f>SUM(#REF!+#REF!)</f>
        <v>#REF!</v>
      </c>
      <c r="M47" s="14" t="e">
        <f>SUM(#REF!+#REF!)</f>
        <v>#REF!</v>
      </c>
      <c r="N47" s="14" t="e">
        <f>SUM(#REF!+#REF!)</f>
        <v>#REF!</v>
      </c>
      <c r="O47" s="14" t="e">
        <f>SUM(#REF!+#REF!)</f>
        <v>#REF!</v>
      </c>
      <c r="P47" s="11">
        <v>2568</v>
      </c>
      <c r="Q47" s="8"/>
      <c r="R47" s="56">
        <f>SUM(S47+V47)</f>
        <v>7009.572999999999</v>
      </c>
      <c r="S47" s="63">
        <v>1003.673</v>
      </c>
      <c r="T47" s="10" t="e">
        <f>SUM(#REF!+#REF!)</f>
        <v>#REF!</v>
      </c>
      <c r="U47" s="63" t="e">
        <f>SUM(#REF!+#REF!)</f>
        <v>#REF!</v>
      </c>
      <c r="V47" s="39">
        <v>6005.9</v>
      </c>
      <c r="W47" s="56">
        <f>SUM(X47+Y47)</f>
        <v>7009.572999999999</v>
      </c>
      <c r="X47" s="63">
        <v>1003.673</v>
      </c>
      <c r="Y47" s="39">
        <v>6005.9</v>
      </c>
    </row>
    <row r="48" spans="2:25" ht="20.25" customHeight="1">
      <c r="B48" s="33"/>
      <c r="C48" s="31" t="s">
        <v>81</v>
      </c>
      <c r="D48" s="16" t="e">
        <f>SUM(E48:F48)</f>
        <v>#REF!</v>
      </c>
      <c r="E48" s="10" t="e">
        <f>SUM(#REF!+#REF!)</f>
        <v>#REF!</v>
      </c>
      <c r="F48" s="10" t="e">
        <f>SUM(#REF!+#REF!)</f>
        <v>#REF!</v>
      </c>
      <c r="G48" s="16" t="e">
        <f>SUM(#REF!+#REF!)</f>
        <v>#REF!</v>
      </c>
      <c r="H48" s="16" t="e">
        <f>SUM(#REF!+#REF!)</f>
        <v>#REF!</v>
      </c>
      <c r="I48" s="17"/>
      <c r="J48" s="14"/>
      <c r="K48" s="16" t="e">
        <f>SUM(#REF!+#REF!)</f>
        <v>#REF!</v>
      </c>
      <c r="L48" s="9"/>
      <c r="M48" s="14"/>
      <c r="N48" s="14"/>
      <c r="O48" s="14"/>
      <c r="P48" s="11"/>
      <c r="Q48" s="8"/>
      <c r="R48" s="56">
        <f>SUM(S48,V48)</f>
        <v>2864.8517768</v>
      </c>
      <c r="S48" s="18">
        <f>AVERAGE(S49*S10)/1000</f>
        <v>297.87744</v>
      </c>
      <c r="T48" s="18">
        <f>AVERAGE(T49*T10)/1000</f>
        <v>729.4673344</v>
      </c>
      <c r="U48" s="14">
        <f>AVERAGE(U49*U10)/1000</f>
        <v>1837.5070024000001</v>
      </c>
      <c r="V48" s="64">
        <f>SUM(T48+U48)</f>
        <v>2566.9743368</v>
      </c>
      <c r="W48" s="51">
        <f>SUM(X48,Y48)</f>
        <v>2691.8104288000004</v>
      </c>
      <c r="X48" s="10">
        <f>AVERAGE(X49*X10)/1000</f>
        <v>377.7404288</v>
      </c>
      <c r="Y48" s="58">
        <v>2314.07</v>
      </c>
    </row>
    <row r="49" spans="2:25" ht="20.25" customHeight="1">
      <c r="B49" s="33"/>
      <c r="C49" s="31" t="s">
        <v>82</v>
      </c>
      <c r="D49" s="5"/>
      <c r="E49" s="5"/>
      <c r="F49" s="5"/>
      <c r="G49" s="9" t="e">
        <f>AVERAGE(G48/G10)*1000</f>
        <v>#REF!</v>
      </c>
      <c r="H49" s="9" t="e">
        <f>AVERAGE(H48/H10)*1000</f>
        <v>#REF!</v>
      </c>
      <c r="I49" s="9">
        <f>AVERAGE(I48/I10)*1000</f>
        <v>0</v>
      </c>
      <c r="J49" s="9">
        <f>AVERAGE(J48/J10)*1000</f>
        <v>0</v>
      </c>
      <c r="K49" s="9" t="e">
        <f>AVERAGE(K48/K10)*1000</f>
        <v>#REF!</v>
      </c>
      <c r="L49" s="34"/>
      <c r="M49" s="14"/>
      <c r="N49" s="14"/>
      <c r="O49" s="14"/>
      <c r="P49" s="11"/>
      <c r="Q49" s="8"/>
      <c r="R49" s="51">
        <v>52.06</v>
      </c>
      <c r="S49" s="18">
        <v>85.12</v>
      </c>
      <c r="T49" s="18">
        <v>85.12</v>
      </c>
      <c r="U49" s="18">
        <v>49.64</v>
      </c>
      <c r="V49" s="39"/>
      <c r="W49" s="51">
        <v>52.06</v>
      </c>
      <c r="X49" s="18">
        <v>85.12</v>
      </c>
      <c r="Y49" s="39">
        <v>48.96</v>
      </c>
    </row>
    <row r="50" spans="2:25" ht="20.25" customHeight="1">
      <c r="B50" s="33"/>
      <c r="C50" s="31" t="s">
        <v>83</v>
      </c>
      <c r="D50" s="9"/>
      <c r="E50" s="10"/>
      <c r="F50" s="10"/>
      <c r="G50" s="9"/>
      <c r="H50" s="18"/>
      <c r="I50" s="14"/>
      <c r="J50" s="14"/>
      <c r="K50" s="11"/>
      <c r="L50" s="34"/>
      <c r="M50" s="14"/>
      <c r="N50" s="14"/>
      <c r="O50" s="14"/>
      <c r="P50" s="11"/>
      <c r="Q50" s="8"/>
      <c r="R50" s="56">
        <v>3.12219</v>
      </c>
      <c r="S50" s="16">
        <v>3.12219</v>
      </c>
      <c r="T50" s="16">
        <v>3.12219</v>
      </c>
      <c r="U50" s="16">
        <v>3.12219</v>
      </c>
      <c r="V50" s="65">
        <v>3.12219</v>
      </c>
      <c r="W50" s="56">
        <v>3.02</v>
      </c>
      <c r="X50" s="56">
        <v>3.02</v>
      </c>
      <c r="Y50" s="56">
        <v>3.02</v>
      </c>
    </row>
    <row r="51" spans="2:25" ht="30" customHeight="1">
      <c r="B51" s="24" t="s">
        <v>84</v>
      </c>
      <c r="C51" s="32" t="s">
        <v>85</v>
      </c>
      <c r="D51" s="9">
        <f>SUM(E51:F51)</f>
        <v>4594.07</v>
      </c>
      <c r="E51" s="9">
        <v>597.23</v>
      </c>
      <c r="F51" s="9">
        <v>3996.84</v>
      </c>
      <c r="G51" s="9">
        <f>SUM(H51:J51)</f>
        <v>5539.99</v>
      </c>
      <c r="H51" s="9">
        <v>913.84</v>
      </c>
      <c r="I51" s="9">
        <v>1856.85</v>
      </c>
      <c r="J51" s="9">
        <v>2769.3</v>
      </c>
      <c r="K51" s="9">
        <v>4626.2</v>
      </c>
      <c r="L51" s="66">
        <f aca="true" t="shared" si="5" ref="L51:L57">SUM(M51+P51)</f>
        <v>1960.9136700000001</v>
      </c>
      <c r="M51" s="13">
        <f>SUM(M52:M53)</f>
        <v>429.21367000000004</v>
      </c>
      <c r="N51" s="5">
        <f>SUM(N52:N53)</f>
        <v>728.9266</v>
      </c>
      <c r="O51" s="5">
        <f>SUM(O52:O53)</f>
        <v>802.75155</v>
      </c>
      <c r="P51" s="11">
        <v>1531.7</v>
      </c>
      <c r="Q51" s="8"/>
      <c r="R51" s="56">
        <f>SUM(S51,V51)</f>
        <v>6141.305444399999</v>
      </c>
      <c r="S51" s="9">
        <f>AVERAGE(S52*S53*12)/1000</f>
        <v>681.1699859999999</v>
      </c>
      <c r="T51" s="9">
        <f>AVERAGE(T52*T53*12)/1000</f>
        <v>1804.1383583999998</v>
      </c>
      <c r="U51" s="9">
        <f>AVERAGE(U52*U53*12)/1000</f>
        <v>3655.9970999999996</v>
      </c>
      <c r="V51" s="67">
        <f>SUM(T51,U51)</f>
        <v>5460.135458399999</v>
      </c>
      <c r="W51" s="56">
        <f>SUM(X51,Y51)</f>
        <v>5209.8099999999995</v>
      </c>
      <c r="X51" s="9">
        <v>677.28</v>
      </c>
      <c r="Y51" s="67">
        <v>4532.53</v>
      </c>
    </row>
    <row r="52" spans="2:25" ht="16.5" customHeight="1">
      <c r="B52" s="33"/>
      <c r="C52" s="31" t="s">
        <v>86</v>
      </c>
      <c r="D52" s="10">
        <v>37.56</v>
      </c>
      <c r="E52" s="5">
        <v>8.9</v>
      </c>
      <c r="F52" s="5">
        <v>28.66</v>
      </c>
      <c r="G52" s="10">
        <f>SUM(H52+K52)</f>
        <v>39.879999999999995</v>
      </c>
      <c r="H52" s="5">
        <v>6.58</v>
      </c>
      <c r="I52" s="5">
        <v>13.37</v>
      </c>
      <c r="J52" s="5">
        <v>19.94</v>
      </c>
      <c r="K52" s="11">
        <v>33.3</v>
      </c>
      <c r="L52" s="34">
        <f t="shared" si="5"/>
        <v>1542.40767</v>
      </c>
      <c r="M52" s="13">
        <v>429.00767</v>
      </c>
      <c r="N52" s="5">
        <v>483.7746</v>
      </c>
      <c r="O52" s="5">
        <v>629.65055</v>
      </c>
      <c r="P52" s="11">
        <v>1113.4</v>
      </c>
      <c r="Q52" s="8"/>
      <c r="R52" s="51">
        <f>SUM(S52,V52)</f>
        <v>39.894999999999996</v>
      </c>
      <c r="S52" s="5">
        <v>4.425</v>
      </c>
      <c r="T52" s="5">
        <v>11.72</v>
      </c>
      <c r="U52" s="5">
        <v>23.75</v>
      </c>
      <c r="V52" s="39">
        <f>SUM(T52+U52)</f>
        <v>35.47</v>
      </c>
      <c r="W52" s="51">
        <f>SUM(X52,Y52)</f>
        <v>37.56</v>
      </c>
      <c r="X52" s="5">
        <v>4.88</v>
      </c>
      <c r="Y52" s="39">
        <v>32.68</v>
      </c>
    </row>
    <row r="53" spans="2:25" ht="15" customHeight="1">
      <c r="B53" s="33"/>
      <c r="C53" s="31" t="s">
        <v>87</v>
      </c>
      <c r="D53" s="9">
        <v>10192.73</v>
      </c>
      <c r="E53" s="9">
        <v>10192.73</v>
      </c>
      <c r="F53" s="9">
        <v>10192.73</v>
      </c>
      <c r="G53" s="10">
        <v>11573.49</v>
      </c>
      <c r="H53" s="10">
        <v>11573.49</v>
      </c>
      <c r="I53" s="10">
        <v>11573.49</v>
      </c>
      <c r="J53" s="10">
        <v>11573.49</v>
      </c>
      <c r="K53" s="10">
        <v>11573.49</v>
      </c>
      <c r="L53" s="34">
        <f t="shared" si="5"/>
        <v>418.50600000000003</v>
      </c>
      <c r="M53" s="60">
        <v>0.206</v>
      </c>
      <c r="N53" s="5">
        <v>245.152</v>
      </c>
      <c r="O53" s="5">
        <v>173.101</v>
      </c>
      <c r="P53" s="11">
        <v>418.3</v>
      </c>
      <c r="Q53" s="8"/>
      <c r="R53" s="57">
        <v>12828.06</v>
      </c>
      <c r="S53" s="10">
        <v>12828.06</v>
      </c>
      <c r="T53" s="10">
        <v>12828.06</v>
      </c>
      <c r="U53" s="10">
        <v>12828.06</v>
      </c>
      <c r="V53" s="58">
        <v>12828.06</v>
      </c>
      <c r="W53" s="57">
        <v>11558.86</v>
      </c>
      <c r="X53" s="57">
        <v>11558.86</v>
      </c>
      <c r="Y53" s="57">
        <v>11558.86</v>
      </c>
    </row>
    <row r="54" spans="2:25" ht="18" customHeight="1">
      <c r="B54" s="33"/>
      <c r="C54" s="31" t="s">
        <v>88</v>
      </c>
      <c r="D54" s="21"/>
      <c r="E54" s="68"/>
      <c r="F54" s="68"/>
      <c r="G54" s="9">
        <v>0.26</v>
      </c>
      <c r="H54" s="10"/>
      <c r="I54" s="10"/>
      <c r="J54" s="10"/>
      <c r="K54" s="11"/>
      <c r="L54" s="66">
        <f t="shared" si="5"/>
        <v>8113</v>
      </c>
      <c r="M54" s="69">
        <f>SUM(M55:M57)</f>
        <v>1606</v>
      </c>
      <c r="N54" s="69">
        <f>SUM(N55:N57)</f>
        <v>1605</v>
      </c>
      <c r="O54" s="69">
        <f>SUM(O55:O57)</f>
        <v>4902</v>
      </c>
      <c r="P54" s="11">
        <v>6507</v>
      </c>
      <c r="Q54" s="8"/>
      <c r="R54" s="51">
        <v>34.6</v>
      </c>
      <c r="S54" s="5">
        <v>34.6</v>
      </c>
      <c r="T54" s="5">
        <v>34.6</v>
      </c>
      <c r="U54" s="5">
        <v>34.6</v>
      </c>
      <c r="V54" s="53">
        <v>34.6</v>
      </c>
      <c r="W54" s="51">
        <v>34.6</v>
      </c>
      <c r="X54" s="5">
        <v>34.6</v>
      </c>
      <c r="Y54" s="53">
        <v>34.6</v>
      </c>
    </row>
    <row r="55" spans="2:25" ht="43.5" customHeight="1">
      <c r="B55" s="24" t="s">
        <v>89</v>
      </c>
      <c r="C55" s="32" t="s">
        <v>90</v>
      </c>
      <c r="D55" s="9">
        <f>PRODUCT(D51*0.266)</f>
        <v>1222.02262</v>
      </c>
      <c r="E55" s="9">
        <f>PRODUCT(E51*0.266)</f>
        <v>158.86318</v>
      </c>
      <c r="F55" s="9">
        <f>PRODUCT(F51*0.266)</f>
        <v>1063.1594400000001</v>
      </c>
      <c r="G55" s="9">
        <f>SUM(H55+K55)</f>
        <v>1473.63734</v>
      </c>
      <c r="H55" s="9">
        <f>AVERAGE(H51*0.266)</f>
        <v>243.08144000000001</v>
      </c>
      <c r="I55" s="9">
        <f>AVERAGE(I51*0.266)</f>
        <v>493.9221</v>
      </c>
      <c r="J55" s="9">
        <f>AVERAGE(J51*0.266)</f>
        <v>736.6338000000001</v>
      </c>
      <c r="K55" s="9">
        <f>SUM(I55:J55)</f>
        <v>1230.5559</v>
      </c>
      <c r="L55" s="34">
        <f t="shared" si="5"/>
        <v>5003</v>
      </c>
      <c r="M55" s="10">
        <v>833</v>
      </c>
      <c r="N55" s="10">
        <v>833</v>
      </c>
      <c r="O55" s="10">
        <v>3337</v>
      </c>
      <c r="P55" s="11">
        <v>4170</v>
      </c>
      <c r="Q55" s="8"/>
      <c r="R55" s="51">
        <f>SUM(S55+V55)</f>
        <v>2124.8916837623997</v>
      </c>
      <c r="S55" s="9">
        <f>AVERAGE(S51*0.346)</f>
        <v>235.68481515599993</v>
      </c>
      <c r="T55" s="9">
        <f>AVERAGE(T51*0.346)</f>
        <v>624.2318720063998</v>
      </c>
      <c r="U55" s="9">
        <f>AVERAGE(U51*0.346)</f>
        <v>1264.9749965999997</v>
      </c>
      <c r="V55" s="39">
        <f>AVERAGE(V51*0.346)</f>
        <v>1889.2068686063997</v>
      </c>
      <c r="W55" s="51">
        <f>SUM(X55+Y55)</f>
        <v>1802.5942599999998</v>
      </c>
      <c r="X55" s="9">
        <f>AVERAGE(X51*0.346)</f>
        <v>234.33887999999996</v>
      </c>
      <c r="Y55" s="39">
        <f>AVERAGE(Y51*0.346)</f>
        <v>1568.2553799999998</v>
      </c>
    </row>
    <row r="56" spans="2:25" ht="39.75" customHeight="1">
      <c r="B56" s="24" t="s">
        <v>91</v>
      </c>
      <c r="C56" s="32" t="s">
        <v>142</v>
      </c>
      <c r="D56" s="9" t="e">
        <f>SUM(E56+F56)</f>
        <v>#REF!</v>
      </c>
      <c r="E56" s="9" t="e">
        <f>SUM(E57+E58)</f>
        <v>#REF!</v>
      </c>
      <c r="F56" s="9" t="e">
        <f>SUM(F57+F58)</f>
        <v>#REF!</v>
      </c>
      <c r="G56" s="9" t="e">
        <f>SUM(H56:J56)</f>
        <v>#REF!</v>
      </c>
      <c r="H56" s="9" t="e">
        <f>SUM(H57+H58)</f>
        <v>#REF!</v>
      </c>
      <c r="I56" s="9" t="e">
        <f>SUM(I57+I58)</f>
        <v>#REF!</v>
      </c>
      <c r="J56" s="9" t="e">
        <f>SUM(J57+J58)</f>
        <v>#REF!</v>
      </c>
      <c r="K56" s="9" t="e">
        <f>SUM(I56:J56)</f>
        <v>#REF!</v>
      </c>
      <c r="L56" s="34">
        <f t="shared" si="5"/>
        <v>2748</v>
      </c>
      <c r="M56" s="10">
        <v>687</v>
      </c>
      <c r="N56" s="10">
        <v>687</v>
      </c>
      <c r="O56" s="10">
        <v>1374</v>
      </c>
      <c r="P56" s="11">
        <v>2061</v>
      </c>
      <c r="Q56" s="8"/>
      <c r="R56" s="51" t="e">
        <f>SUM(S56,V56)</f>
        <v>#REF!</v>
      </c>
      <c r="S56" s="9" t="e">
        <f>SUM(S57,S58,#REF!)</f>
        <v>#REF!</v>
      </c>
      <c r="T56" s="9" t="e">
        <f>SUM(T57,T58,#REF!)</f>
        <v>#REF!</v>
      </c>
      <c r="U56" s="9" t="e">
        <f>SUM(U57,U58,#REF!)</f>
        <v>#REF!</v>
      </c>
      <c r="V56" s="39" t="e">
        <f>SUM(V57,V58,#REF!)</f>
        <v>#REF!</v>
      </c>
      <c r="W56" s="39">
        <f>SUM(W57:W59)</f>
        <v>3876.73</v>
      </c>
      <c r="X56" s="39">
        <f>SUM(X57:X59)</f>
        <v>1007.8900000000001</v>
      </c>
      <c r="Y56" s="39">
        <f>SUM(Y57:Y59)</f>
        <v>2868.8399999999997</v>
      </c>
    </row>
    <row r="57" spans="2:25" ht="18" customHeight="1">
      <c r="B57" s="33" t="s">
        <v>92</v>
      </c>
      <c r="C57" s="70" t="s">
        <v>139</v>
      </c>
      <c r="D57" s="71" t="e">
        <f>SUM(E57+F57)</f>
        <v>#REF!</v>
      </c>
      <c r="E57" s="10" t="e">
        <f>SUM(#REF!)</f>
        <v>#REF!</v>
      </c>
      <c r="F57" s="10" t="e">
        <f>SUM(#REF!)</f>
        <v>#REF!</v>
      </c>
      <c r="G57" s="71" t="e">
        <f>SUM(H57:J57)</f>
        <v>#REF!</v>
      </c>
      <c r="H57" s="13" t="e">
        <f>SUM(#REF!)</f>
        <v>#REF!</v>
      </c>
      <c r="I57" s="13" t="e">
        <f>SUM(#REF!)</f>
        <v>#REF!</v>
      </c>
      <c r="J57" s="13" t="e">
        <f>SUM(#REF!)</f>
        <v>#REF!</v>
      </c>
      <c r="K57" s="11" t="e">
        <f>SUM(I57:J57)</f>
        <v>#REF!</v>
      </c>
      <c r="L57" s="34">
        <f t="shared" si="5"/>
        <v>362</v>
      </c>
      <c r="M57" s="68">
        <v>86</v>
      </c>
      <c r="N57" s="68">
        <v>85</v>
      </c>
      <c r="O57" s="68">
        <v>191</v>
      </c>
      <c r="P57" s="11">
        <v>276</v>
      </c>
      <c r="Q57" s="8"/>
      <c r="R57" s="72" t="e">
        <f>SUM(S57,V57)</f>
        <v>#REF!</v>
      </c>
      <c r="S57" s="13" t="e">
        <f>SUM(#REF!)</f>
        <v>#REF!</v>
      </c>
      <c r="T57" s="13" t="e">
        <f>SUM(#REF!)</f>
        <v>#REF!</v>
      </c>
      <c r="U57" s="13" t="e">
        <f>SUM(#REF!)</f>
        <v>#REF!</v>
      </c>
      <c r="V57" s="50" t="e">
        <f>SUM(T57,U57)</f>
        <v>#REF!</v>
      </c>
      <c r="W57" s="72">
        <f>SUM(X57,Y57)</f>
        <v>2245.83</v>
      </c>
      <c r="X57" s="13">
        <v>232.33</v>
      </c>
      <c r="Y57" s="50">
        <v>2013.5</v>
      </c>
    </row>
    <row r="58" spans="2:25" ht="18" customHeight="1">
      <c r="B58" s="33" t="s">
        <v>93</v>
      </c>
      <c r="C58" s="32" t="s">
        <v>140</v>
      </c>
      <c r="D58" s="9" t="e">
        <f>SUM(E58+F58)</f>
        <v>#REF!</v>
      </c>
      <c r="E58" s="10" t="e">
        <f>SUM(#REF!)</f>
        <v>#REF!</v>
      </c>
      <c r="F58" s="10" t="e">
        <f>SUM(#REF!)</f>
        <v>#REF!</v>
      </c>
      <c r="G58" s="9" t="e">
        <f>SUM(#REF!)</f>
        <v>#REF!</v>
      </c>
      <c r="H58" s="10" t="e">
        <f>SUM(#REF!)</f>
        <v>#REF!</v>
      </c>
      <c r="I58" s="10" t="e">
        <f>SUM(#REF!)</f>
        <v>#REF!</v>
      </c>
      <c r="J58" s="10" t="e">
        <f>SUM(#REF!)</f>
        <v>#REF!</v>
      </c>
      <c r="K58" s="11" t="e">
        <f>SUM(I58:J58)</f>
        <v>#REF!</v>
      </c>
      <c r="L58" s="9">
        <f>SUM(M58+P58)</f>
        <v>0</v>
      </c>
      <c r="M58" s="10"/>
      <c r="N58" s="10"/>
      <c r="O58" s="10"/>
      <c r="P58" s="11">
        <f>SUM(N58:O58)</f>
        <v>0</v>
      </c>
      <c r="Q58" s="8"/>
      <c r="R58" s="51" t="e">
        <f>SUM(S58,V58)</f>
        <v>#REF!</v>
      </c>
      <c r="S58" s="20" t="e">
        <f>SUM(#REF!)</f>
        <v>#REF!</v>
      </c>
      <c r="T58" s="20" t="e">
        <f>SUM(#REF!,#REF!)</f>
        <v>#REF!</v>
      </c>
      <c r="U58" s="20" t="e">
        <f>SUM(#REF!,#REF!)</f>
        <v>#REF!</v>
      </c>
      <c r="V58" s="50" t="e">
        <f>SUM(T58,U58)</f>
        <v>#REF!</v>
      </c>
      <c r="W58" s="51">
        <f>SUM(X58,Y58)</f>
        <v>1536.1399999999999</v>
      </c>
      <c r="X58" s="10">
        <v>767.98</v>
      </c>
      <c r="Y58" s="50">
        <v>768.16</v>
      </c>
    </row>
    <row r="59" spans="2:25" ht="18" customHeight="1">
      <c r="B59" s="33" t="s">
        <v>94</v>
      </c>
      <c r="C59" s="32" t="s">
        <v>141</v>
      </c>
      <c r="D59" s="9"/>
      <c r="E59" s="10"/>
      <c r="F59" s="10"/>
      <c r="G59" s="9"/>
      <c r="H59" s="10"/>
      <c r="I59" s="10"/>
      <c r="J59" s="10"/>
      <c r="K59" s="11"/>
      <c r="L59" s="34"/>
      <c r="M59" s="10"/>
      <c r="N59" s="10"/>
      <c r="O59" s="10"/>
      <c r="P59" s="11"/>
      <c r="Q59" s="8"/>
      <c r="R59" s="51"/>
      <c r="S59" s="20"/>
      <c r="T59" s="20"/>
      <c r="U59" s="20"/>
      <c r="V59" s="50"/>
      <c r="W59" s="51">
        <f>7.58+Y59</f>
        <v>94.76</v>
      </c>
      <c r="X59" s="10">
        <v>7.58</v>
      </c>
      <c r="Y59" s="50">
        <v>87.18</v>
      </c>
    </row>
    <row r="60" spans="2:25" ht="18" customHeight="1">
      <c r="B60" s="24" t="s">
        <v>95</v>
      </c>
      <c r="C60" s="32" t="s">
        <v>96</v>
      </c>
      <c r="D60" s="9">
        <f>SUM(E60:F60)</f>
        <v>1002.51</v>
      </c>
      <c r="E60" s="9">
        <v>131.31</v>
      </c>
      <c r="F60" s="9">
        <v>871.2</v>
      </c>
      <c r="G60" s="9">
        <f>SUM(G61+G64+G65)</f>
        <v>2127.31766564</v>
      </c>
      <c r="H60" s="9">
        <f>SUM(H61+H64+H65)</f>
        <v>239.99498838</v>
      </c>
      <c r="I60" s="9">
        <f>SUM(I61+I64+I65)</f>
        <v>507.72021546</v>
      </c>
      <c r="J60" s="9">
        <f>SUM(J61+J64+J65)</f>
        <v>1379.6000018000002</v>
      </c>
      <c r="K60" s="9">
        <f>SUM(I60:J60)</f>
        <v>1887.3202172600002</v>
      </c>
      <c r="L60" s="34" t="e">
        <f>SUM(M60+P60)</f>
        <v>#REF!</v>
      </c>
      <c r="M60" s="10" t="e">
        <f>PRODUCT(#REF!*0.266)</f>
        <v>#REF!</v>
      </c>
      <c r="N60" s="10" t="e">
        <f>PRODUCT(#REF!*0.266)</f>
        <v>#REF!</v>
      </c>
      <c r="O60" s="10" t="e">
        <f>PRODUCT(#REF!*0.266)</f>
        <v>#REF!</v>
      </c>
      <c r="P60" s="11" t="e">
        <f>AVERAGE(#REF!*0.266)</f>
        <v>#REF!</v>
      </c>
      <c r="Q60" s="8"/>
      <c r="R60" s="51">
        <f>SUM(S60+V60)</f>
        <v>1536.9863243328</v>
      </c>
      <c r="S60" s="9">
        <f>SUM(S61+S64+S65)</f>
        <v>103.28999999999999</v>
      </c>
      <c r="T60" s="9">
        <f>SUM(T61+T64+T65)</f>
        <v>536.88235824</v>
      </c>
      <c r="U60" s="9">
        <f>SUM(U61+U64+U65)</f>
        <v>896.8139660928</v>
      </c>
      <c r="V60" s="39">
        <f>SUM(T60+U60)</f>
        <v>1433.6963243328</v>
      </c>
      <c r="W60" s="51">
        <f>SUM(X60+Y60)</f>
        <v>1237.71</v>
      </c>
      <c r="X60" s="9">
        <v>108.53</v>
      </c>
      <c r="Y60" s="39">
        <v>1129.18</v>
      </c>
    </row>
    <row r="61" spans="2:25" ht="18" customHeight="1">
      <c r="B61" s="73" t="s">
        <v>97</v>
      </c>
      <c r="C61" s="36" t="s">
        <v>98</v>
      </c>
      <c r="D61" s="9">
        <f>SUM(E61:F61)</f>
        <v>593.43264</v>
      </c>
      <c r="E61" s="68">
        <f>PRODUCT(E62*E63*12/1000)</f>
        <v>137.66567999999998</v>
      </c>
      <c r="F61" s="68">
        <f>PRODUCT(F62*F63*12/1000)</f>
        <v>455.76696000000004</v>
      </c>
      <c r="G61" s="9">
        <f>SUM(H61+K61)</f>
        <v>1446.1956000000002</v>
      </c>
      <c r="H61" s="14">
        <f>PRODUCT(H62*H63*12)/1000</f>
        <v>163.1502</v>
      </c>
      <c r="I61" s="14">
        <f>PRODUCT(I62*I63*12)/1000</f>
        <v>345.3234</v>
      </c>
      <c r="J61" s="14">
        <f>PRODUCT(J62*J63*12)/1000</f>
        <v>937.7220000000002</v>
      </c>
      <c r="K61" s="11">
        <f>SUM(I61:J61)</f>
        <v>1283.0454000000002</v>
      </c>
      <c r="L61" s="34">
        <f>SUM(L62:L69)</f>
        <v>295.13246</v>
      </c>
      <c r="M61" s="9">
        <f>SUM(M62:M69)</f>
        <v>47.2211936</v>
      </c>
      <c r="N61" s="9">
        <f>SUM(N62:N69)</f>
        <v>99.8453164</v>
      </c>
      <c r="O61" s="9">
        <f>SUM(O62:O69)</f>
        <v>147.61623</v>
      </c>
      <c r="P61" s="9">
        <f>SUM(P62:P69)</f>
        <v>269.16200000000003</v>
      </c>
      <c r="Q61" s="8"/>
      <c r="R61" s="56">
        <f>SUM(S61+V61)</f>
        <v>640.336</v>
      </c>
      <c r="S61" s="5">
        <v>56.1</v>
      </c>
      <c r="T61" s="5">
        <f>AVERAGE(T62*T63*12/1000)</f>
        <v>379.17864000000003</v>
      </c>
      <c r="U61" s="5">
        <f>AVERAGE(U62*U63*12/1000)</f>
        <v>525.7943808</v>
      </c>
      <c r="V61" s="53">
        <v>584.236</v>
      </c>
      <c r="W61" s="51">
        <f>SUM(X61+Y61)</f>
        <v>672.97</v>
      </c>
      <c r="X61" s="5">
        <v>58.94</v>
      </c>
      <c r="Y61" s="53">
        <v>614.03</v>
      </c>
    </row>
    <row r="62" spans="2:25" ht="18.75" customHeight="1">
      <c r="B62" s="73"/>
      <c r="C62" s="37" t="s">
        <v>99</v>
      </c>
      <c r="D62" s="9">
        <v>4.44</v>
      </c>
      <c r="E62" s="5">
        <v>1.03</v>
      </c>
      <c r="F62" s="69">
        <v>3.41</v>
      </c>
      <c r="G62" s="9">
        <f>SUM(H62+K62)</f>
        <v>6.462000000000001</v>
      </c>
      <c r="H62" s="13">
        <v>0.729</v>
      </c>
      <c r="I62" s="13">
        <v>1.543</v>
      </c>
      <c r="J62" s="5">
        <v>4.19</v>
      </c>
      <c r="K62" s="9">
        <f>SUM(I62:J62)</f>
        <v>5.7330000000000005</v>
      </c>
      <c r="L62" s="34">
        <v>1.25586</v>
      </c>
      <c r="M62" s="18">
        <f>PRODUCT(L62*0.16)</f>
        <v>0.2009376</v>
      </c>
      <c r="N62" s="18">
        <f>PRODUCT(L62*0.34)</f>
        <v>0.42699240000000005</v>
      </c>
      <c r="O62" s="18">
        <f>PRODUCT(L62*0.5)</f>
        <v>0.62793</v>
      </c>
      <c r="P62" s="18">
        <v>1.145</v>
      </c>
      <c r="Q62" s="8"/>
      <c r="R62" s="51">
        <f>SUM(S62+V62)</f>
        <v>4.44</v>
      </c>
      <c r="S62" s="5">
        <v>0.86</v>
      </c>
      <c r="T62" s="5">
        <v>1.5</v>
      </c>
      <c r="U62" s="5">
        <v>2.08</v>
      </c>
      <c r="V62" s="53">
        <f>SUM(T62:U62)</f>
        <v>3.58</v>
      </c>
      <c r="W62" s="51">
        <f>SUM(X62+Y62)</f>
        <v>4.4399999999999995</v>
      </c>
      <c r="X62" s="5">
        <v>0.39</v>
      </c>
      <c r="Y62" s="53">
        <v>4.05</v>
      </c>
    </row>
    <row r="63" spans="2:25" ht="19.5" customHeight="1">
      <c r="B63" s="73"/>
      <c r="C63" s="37" t="s">
        <v>87</v>
      </c>
      <c r="D63" s="21">
        <v>11138</v>
      </c>
      <c r="E63" s="5">
        <v>11138</v>
      </c>
      <c r="F63" s="5">
        <v>11138</v>
      </c>
      <c r="G63" s="21">
        <v>18650</v>
      </c>
      <c r="H63" s="21">
        <v>18650</v>
      </c>
      <c r="I63" s="21">
        <v>18650</v>
      </c>
      <c r="J63" s="21">
        <v>18650</v>
      </c>
      <c r="K63" s="21">
        <v>18650</v>
      </c>
      <c r="L63" s="34">
        <v>122.508</v>
      </c>
      <c r="M63" s="18">
        <f aca="true" t="shared" si="6" ref="M63:M69">PRODUCT(L63*0.16)</f>
        <v>19.60128</v>
      </c>
      <c r="N63" s="18">
        <v>41.153</v>
      </c>
      <c r="O63" s="18">
        <v>61.304</v>
      </c>
      <c r="P63" s="18">
        <v>111.727</v>
      </c>
      <c r="Q63" s="8"/>
      <c r="R63" s="49">
        <v>21065.48</v>
      </c>
      <c r="S63" s="5">
        <v>21065.48</v>
      </c>
      <c r="T63" s="5">
        <v>21065.48</v>
      </c>
      <c r="U63" s="5">
        <v>21065.48</v>
      </c>
      <c r="V63" s="53">
        <v>21065.48</v>
      </c>
      <c r="W63" s="5">
        <v>12630.82</v>
      </c>
      <c r="X63" s="5">
        <v>12630.82</v>
      </c>
      <c r="Y63" s="5">
        <v>12630.82</v>
      </c>
    </row>
    <row r="64" spans="2:25" ht="19.5" customHeight="1">
      <c r="B64" s="73" t="s">
        <v>100</v>
      </c>
      <c r="C64" s="36" t="s">
        <v>101</v>
      </c>
      <c r="D64" s="10">
        <f>PRODUCT(D61*0.266)</f>
        <v>157.85308224000002</v>
      </c>
      <c r="E64" s="10">
        <f>PRODUCT(E61*0.266)</f>
        <v>36.619070879999995</v>
      </c>
      <c r="F64" s="10">
        <f>PRODUCT(F61*0.266)</f>
        <v>121.23401136000001</v>
      </c>
      <c r="G64" s="16">
        <f>SUM(H64+K64)</f>
        <v>385.9896056400001</v>
      </c>
      <c r="H64" s="10">
        <f>PRODUCT(H61*0.2669)</f>
        <v>43.54478838000001</v>
      </c>
      <c r="I64" s="10">
        <f>PRODUCT(I61*0.2669)</f>
        <v>92.16681546000001</v>
      </c>
      <c r="J64" s="10">
        <f>PRODUCT(J61*0.2669)</f>
        <v>250.27800180000008</v>
      </c>
      <c r="K64" s="10">
        <f>PRODUCT(K61*0.2669)</f>
        <v>342.4448172600001</v>
      </c>
      <c r="L64" s="34">
        <v>12.479</v>
      </c>
      <c r="M64" s="18">
        <f t="shared" si="6"/>
        <v>1.99664</v>
      </c>
      <c r="N64" s="18">
        <f aca="true" t="shared" si="7" ref="N64:N69">PRODUCT(L64*0.34)</f>
        <v>4.24286</v>
      </c>
      <c r="O64" s="18">
        <f aca="true" t="shared" si="8" ref="O64:O69">PRODUCT(L64*0.5)</f>
        <v>6.2395</v>
      </c>
      <c r="P64" s="18">
        <v>11.381</v>
      </c>
      <c r="Q64" s="8"/>
      <c r="R64" s="56">
        <f>SUM(S64+V64)</f>
        <v>221.55</v>
      </c>
      <c r="S64" s="60">
        <v>19.4</v>
      </c>
      <c r="T64" s="13">
        <f>AVERAGE(T61*0.266)</f>
        <v>100.86151824000001</v>
      </c>
      <c r="U64" s="13">
        <f>AVERAGE(U61*0.266)</f>
        <v>139.8613052928</v>
      </c>
      <c r="V64" s="74">
        <v>202.15</v>
      </c>
      <c r="W64" s="56">
        <f aca="true" t="shared" si="9" ref="W64:W73">SUM(X64+Y64)</f>
        <v>232.85000000000002</v>
      </c>
      <c r="X64" s="60">
        <v>20.39</v>
      </c>
      <c r="Y64" s="74">
        <v>212.46</v>
      </c>
    </row>
    <row r="65" spans="2:25" ht="19.5" customHeight="1">
      <c r="B65" s="73" t="s">
        <v>102</v>
      </c>
      <c r="C65" s="37" t="s">
        <v>103</v>
      </c>
      <c r="D65" s="9">
        <v>251.23</v>
      </c>
      <c r="E65" s="13">
        <v>32.7</v>
      </c>
      <c r="F65" s="13">
        <v>218.53</v>
      </c>
      <c r="G65" s="9">
        <f>SUM(G66:G73)</f>
        <v>295.13246</v>
      </c>
      <c r="H65" s="10">
        <v>33.3</v>
      </c>
      <c r="I65" s="10">
        <v>70.23</v>
      </c>
      <c r="J65" s="10">
        <v>191.6</v>
      </c>
      <c r="K65" s="11">
        <f aca="true" t="shared" si="10" ref="K65:K79">SUM(I65:J65)</f>
        <v>261.83</v>
      </c>
      <c r="L65" s="34">
        <v>1.516</v>
      </c>
      <c r="M65" s="18">
        <f t="shared" si="6"/>
        <v>0.24256</v>
      </c>
      <c r="N65" s="18">
        <f t="shared" si="7"/>
        <v>0.51544</v>
      </c>
      <c r="O65" s="18">
        <f t="shared" si="8"/>
        <v>0.758</v>
      </c>
      <c r="P65" s="18">
        <v>1.383</v>
      </c>
      <c r="Q65" s="8"/>
      <c r="R65" s="51">
        <f>SUM(S65+V65)</f>
        <v>315.79</v>
      </c>
      <c r="S65" s="13">
        <v>27.79</v>
      </c>
      <c r="T65" s="13">
        <f>AVERAGE(R65*0.18)</f>
        <v>56.8422</v>
      </c>
      <c r="U65" s="13">
        <f>AVERAGE(R65*0.732)</f>
        <v>231.15828000000002</v>
      </c>
      <c r="V65" s="74">
        <v>288</v>
      </c>
      <c r="W65" s="51">
        <f t="shared" si="9"/>
        <v>331.9</v>
      </c>
      <c r="X65" s="13">
        <v>29.21</v>
      </c>
      <c r="Y65" s="74">
        <v>302.69</v>
      </c>
    </row>
    <row r="66" spans="2:25" ht="1.5" customHeight="1" hidden="1">
      <c r="B66" s="33" t="s">
        <v>104</v>
      </c>
      <c r="C66" s="5"/>
      <c r="D66" s="9"/>
      <c r="E66" s="13"/>
      <c r="F66" s="13"/>
      <c r="G66" s="9">
        <v>1.25586</v>
      </c>
      <c r="H66" s="18">
        <f>PRODUCT(G66*0.0508)</f>
        <v>0.06379768799999999</v>
      </c>
      <c r="I66" s="18">
        <f>PRODUCT(G66*0.2602)</f>
        <v>0.326774772</v>
      </c>
      <c r="J66" s="18">
        <f>PRODUCT(G66*0.689)</f>
        <v>0.86528754</v>
      </c>
      <c r="K66" s="11">
        <f t="shared" si="10"/>
        <v>1.192062312</v>
      </c>
      <c r="L66" s="34">
        <v>48.267</v>
      </c>
      <c r="M66" s="18">
        <f t="shared" si="6"/>
        <v>7.722720000000001</v>
      </c>
      <c r="N66" s="18">
        <f t="shared" si="7"/>
        <v>16.410780000000003</v>
      </c>
      <c r="O66" s="18">
        <f t="shared" si="8"/>
        <v>24.1335</v>
      </c>
      <c r="P66" s="18">
        <v>44.02</v>
      </c>
      <c r="Q66" s="8"/>
      <c r="R66" s="51">
        <f aca="true" t="shared" si="11" ref="R66:R73">SUM(S66+V66)</f>
        <v>1393.66</v>
      </c>
      <c r="S66" s="10">
        <v>696.83</v>
      </c>
      <c r="T66" s="10"/>
      <c r="U66" s="10"/>
      <c r="V66" s="39">
        <v>696.83</v>
      </c>
      <c r="W66" s="51">
        <f t="shared" si="9"/>
        <v>1393.66</v>
      </c>
      <c r="X66" s="10">
        <v>696.83</v>
      </c>
      <c r="Y66" s="39">
        <v>696.83</v>
      </c>
    </row>
    <row r="67" spans="2:25" ht="12" customHeight="1" hidden="1">
      <c r="B67" s="33" t="s">
        <v>105</v>
      </c>
      <c r="C67" s="5"/>
      <c r="D67" s="9"/>
      <c r="E67" s="13"/>
      <c r="F67" s="13"/>
      <c r="G67" s="9">
        <v>122.508</v>
      </c>
      <c r="H67" s="18">
        <f aca="true" t="shared" si="12" ref="H67:H73">PRODUCT(G67*0.0508)</f>
        <v>6.223406399999999</v>
      </c>
      <c r="I67" s="18">
        <f aca="true" t="shared" si="13" ref="I67:I73">PRODUCT(G67*0.2602)</f>
        <v>31.876581599999998</v>
      </c>
      <c r="J67" s="18">
        <f aca="true" t="shared" si="14" ref="J67:J73">PRODUCT(G67*0.689)</f>
        <v>84.40801199999999</v>
      </c>
      <c r="K67" s="11">
        <f t="shared" si="10"/>
        <v>116.28459359999998</v>
      </c>
      <c r="L67" s="34">
        <v>53.037</v>
      </c>
      <c r="M67" s="18">
        <f t="shared" si="6"/>
        <v>8.48592</v>
      </c>
      <c r="N67" s="18">
        <f t="shared" si="7"/>
        <v>18.03258</v>
      </c>
      <c r="O67" s="18">
        <f t="shared" si="8"/>
        <v>26.5185</v>
      </c>
      <c r="P67" s="18">
        <v>48.37</v>
      </c>
      <c r="Q67" s="8"/>
      <c r="R67" s="51">
        <f t="shared" si="11"/>
        <v>341.88</v>
      </c>
      <c r="S67" s="68">
        <v>30.53</v>
      </c>
      <c r="T67" s="68">
        <v>85</v>
      </c>
      <c r="U67" s="68">
        <v>191</v>
      </c>
      <c r="V67" s="39">
        <v>311.35</v>
      </c>
      <c r="W67" s="51">
        <f t="shared" si="9"/>
        <v>341.88</v>
      </c>
      <c r="X67" s="68">
        <v>30.53</v>
      </c>
      <c r="Y67" s="39">
        <v>311.35</v>
      </c>
    </row>
    <row r="68" spans="2:25" ht="14.25" customHeight="1" hidden="1">
      <c r="B68" s="33"/>
      <c r="C68" s="5"/>
      <c r="D68" s="9"/>
      <c r="E68" s="13"/>
      <c r="F68" s="13"/>
      <c r="G68" s="9">
        <v>12.479</v>
      </c>
      <c r="H68" s="18">
        <f t="shared" si="12"/>
        <v>0.6339332</v>
      </c>
      <c r="I68" s="18">
        <f t="shared" si="13"/>
        <v>3.2470357999999995</v>
      </c>
      <c r="J68" s="18">
        <f t="shared" si="14"/>
        <v>8.598030999999999</v>
      </c>
      <c r="K68" s="11">
        <f t="shared" si="10"/>
        <v>11.845066799999998</v>
      </c>
      <c r="L68" s="34">
        <v>54.9086</v>
      </c>
      <c r="M68" s="18">
        <f t="shared" si="6"/>
        <v>8.785376</v>
      </c>
      <c r="N68" s="18">
        <f t="shared" si="7"/>
        <v>18.668924</v>
      </c>
      <c r="O68" s="18">
        <f t="shared" si="8"/>
        <v>27.4543</v>
      </c>
      <c r="P68" s="18">
        <v>50.077</v>
      </c>
      <c r="Q68" s="8"/>
      <c r="R68" s="51">
        <f t="shared" si="11"/>
        <v>0</v>
      </c>
      <c r="S68" s="5"/>
      <c r="T68" s="5"/>
      <c r="U68" s="5"/>
      <c r="V68" s="50">
        <f>SUM(T68:U68)</f>
        <v>0</v>
      </c>
      <c r="W68" s="51" t="e">
        <f t="shared" si="9"/>
        <v>#REF!</v>
      </c>
      <c r="X68" s="5"/>
      <c r="Y68" s="50" t="e">
        <f>SUM(#REF!)</f>
        <v>#REF!</v>
      </c>
    </row>
    <row r="69" spans="2:25" ht="15" customHeight="1" hidden="1">
      <c r="B69" s="33"/>
      <c r="C69" s="5"/>
      <c r="D69" s="9"/>
      <c r="E69" s="13"/>
      <c r="F69" s="13"/>
      <c r="G69" s="9">
        <v>1.516</v>
      </c>
      <c r="H69" s="18">
        <f t="shared" si="12"/>
        <v>0.07701279999999999</v>
      </c>
      <c r="I69" s="18">
        <f t="shared" si="13"/>
        <v>0.39446319999999996</v>
      </c>
      <c r="J69" s="18">
        <f t="shared" si="14"/>
        <v>1.044524</v>
      </c>
      <c r="K69" s="11">
        <f t="shared" si="10"/>
        <v>1.4389872</v>
      </c>
      <c r="L69" s="34">
        <v>1.161</v>
      </c>
      <c r="M69" s="18">
        <f t="shared" si="6"/>
        <v>0.18576</v>
      </c>
      <c r="N69" s="18">
        <f t="shared" si="7"/>
        <v>0.39474000000000004</v>
      </c>
      <c r="O69" s="18">
        <f t="shared" si="8"/>
        <v>0.5805</v>
      </c>
      <c r="P69" s="18">
        <v>1.059</v>
      </c>
      <c r="Q69" s="8"/>
      <c r="R69" s="51">
        <f t="shared" si="11"/>
        <v>0</v>
      </c>
      <c r="S69" s="68"/>
      <c r="T69" s="68"/>
      <c r="U69" s="68"/>
      <c r="V69" s="50">
        <f>SUM(T69:U69)</f>
        <v>0</v>
      </c>
      <c r="W69" s="51" t="e">
        <f t="shared" si="9"/>
        <v>#REF!</v>
      </c>
      <c r="X69" s="68"/>
      <c r="Y69" s="50" t="e">
        <f>SUM(#REF!)</f>
        <v>#REF!</v>
      </c>
    </row>
    <row r="70" spans="2:25" ht="27" customHeight="1" hidden="1">
      <c r="B70" s="33" t="s">
        <v>106</v>
      </c>
      <c r="C70" s="5"/>
      <c r="D70" s="9"/>
      <c r="E70" s="13"/>
      <c r="F70" s="13"/>
      <c r="G70" s="9">
        <v>48.267</v>
      </c>
      <c r="H70" s="18">
        <f t="shared" si="12"/>
        <v>2.4519636</v>
      </c>
      <c r="I70" s="18">
        <f t="shared" si="13"/>
        <v>12.5590734</v>
      </c>
      <c r="J70" s="18">
        <f t="shared" si="14"/>
        <v>33.255963</v>
      </c>
      <c r="K70" s="11">
        <f t="shared" si="10"/>
        <v>45.815036400000004</v>
      </c>
      <c r="L70" s="34">
        <f aca="true" t="shared" si="15" ref="L70:L84">SUM(M70+P70)</f>
        <v>1480.68</v>
      </c>
      <c r="M70" s="9">
        <v>239.98</v>
      </c>
      <c r="N70" s="9">
        <v>500.5</v>
      </c>
      <c r="O70" s="9">
        <v>740.2</v>
      </c>
      <c r="P70" s="11">
        <v>1240.7</v>
      </c>
      <c r="Q70" s="8"/>
      <c r="R70" s="51">
        <f t="shared" si="11"/>
        <v>0</v>
      </c>
      <c r="S70" s="68"/>
      <c r="T70" s="68"/>
      <c r="U70" s="68"/>
      <c r="V70" s="50">
        <f>SUM(T70:U70)</f>
        <v>0</v>
      </c>
      <c r="W70" s="51" t="e">
        <f t="shared" si="9"/>
        <v>#REF!</v>
      </c>
      <c r="X70" s="68"/>
      <c r="Y70" s="50" t="e">
        <f>SUM(#REF!)</f>
        <v>#REF!</v>
      </c>
    </row>
    <row r="71" spans="2:25" ht="18" customHeight="1" hidden="1">
      <c r="B71" s="33" t="s">
        <v>107</v>
      </c>
      <c r="C71" s="8"/>
      <c r="D71" s="9"/>
      <c r="E71" s="13"/>
      <c r="F71" s="13"/>
      <c r="G71" s="9">
        <v>53.037</v>
      </c>
      <c r="H71" s="18">
        <f t="shared" si="12"/>
        <v>2.6942795999999998</v>
      </c>
      <c r="I71" s="18">
        <f t="shared" si="13"/>
        <v>13.800227399999999</v>
      </c>
      <c r="J71" s="18">
        <f t="shared" si="14"/>
        <v>36.54249299999999</v>
      </c>
      <c r="K71" s="11">
        <f t="shared" si="10"/>
        <v>50.34272039999999</v>
      </c>
      <c r="L71" s="34">
        <f t="shared" si="15"/>
        <v>0</v>
      </c>
      <c r="M71" s="5"/>
      <c r="N71" s="5"/>
      <c r="O71" s="5"/>
      <c r="P71" s="11">
        <f aca="true" t="shared" si="16" ref="P71:P84">SUM(N71:O71)</f>
        <v>0</v>
      </c>
      <c r="Q71" s="8"/>
      <c r="R71" s="51">
        <f t="shared" si="11"/>
        <v>0</v>
      </c>
      <c r="S71" s="68"/>
      <c r="T71" s="68"/>
      <c r="U71" s="68"/>
      <c r="V71" s="50">
        <f>SUM(T71:U71)</f>
        <v>0</v>
      </c>
      <c r="W71" s="51" t="e">
        <f t="shared" si="9"/>
        <v>#REF!</v>
      </c>
      <c r="X71" s="68"/>
      <c r="Y71" s="50" t="e">
        <f>SUM(#REF!)</f>
        <v>#REF!</v>
      </c>
    </row>
    <row r="72" spans="2:25" ht="15" customHeight="1" hidden="1">
      <c r="B72" s="33"/>
      <c r="C72" s="8"/>
      <c r="D72" s="9"/>
      <c r="E72" s="13"/>
      <c r="F72" s="13"/>
      <c r="G72" s="9">
        <v>54.9086</v>
      </c>
      <c r="H72" s="18">
        <f t="shared" si="12"/>
        <v>2.7893568799999997</v>
      </c>
      <c r="I72" s="18">
        <f t="shared" si="13"/>
        <v>14.28721772</v>
      </c>
      <c r="J72" s="18">
        <f t="shared" si="14"/>
        <v>37.8320254</v>
      </c>
      <c r="K72" s="11">
        <f t="shared" si="10"/>
        <v>52.11924312</v>
      </c>
      <c r="L72" s="34">
        <f t="shared" si="15"/>
        <v>0</v>
      </c>
      <c r="M72" s="5"/>
      <c r="N72" s="5"/>
      <c r="O72" s="5"/>
      <c r="P72" s="11">
        <f t="shared" si="16"/>
        <v>0</v>
      </c>
      <c r="Q72" s="8"/>
      <c r="R72" s="51">
        <f t="shared" si="11"/>
        <v>979.17</v>
      </c>
      <c r="S72" s="9">
        <f>SUM(S73+S76+S77)</f>
        <v>119.04</v>
      </c>
      <c r="T72" s="9">
        <f>SUM(T73+T76+T77)</f>
        <v>401.75244</v>
      </c>
      <c r="U72" s="9">
        <f>SUM(U73+U76+U77)</f>
        <v>594.5936112</v>
      </c>
      <c r="V72" s="39">
        <f>SUM(V73+V76+V77)</f>
        <v>860.13</v>
      </c>
      <c r="W72" s="51">
        <f t="shared" si="9"/>
        <v>979.17</v>
      </c>
      <c r="X72" s="9">
        <f>SUM(X73+X76+X77)</f>
        <v>119.04</v>
      </c>
      <c r="Y72" s="39">
        <f>SUM(Y73+Y76+Y77)</f>
        <v>860.13</v>
      </c>
    </row>
    <row r="73" spans="2:25" ht="15" customHeight="1" hidden="1">
      <c r="B73" s="33"/>
      <c r="C73" s="8"/>
      <c r="D73" s="9"/>
      <c r="E73" s="13"/>
      <c r="F73" s="13"/>
      <c r="G73" s="9">
        <v>1.161</v>
      </c>
      <c r="H73" s="18">
        <f t="shared" si="12"/>
        <v>0.0589788</v>
      </c>
      <c r="I73" s="18">
        <f t="shared" si="13"/>
        <v>0.3020922</v>
      </c>
      <c r="J73" s="18">
        <f t="shared" si="14"/>
        <v>0.799929</v>
      </c>
      <c r="K73" s="11">
        <f t="shared" si="10"/>
        <v>1.1020212</v>
      </c>
      <c r="L73" s="34">
        <f t="shared" si="15"/>
        <v>0</v>
      </c>
      <c r="M73" s="5"/>
      <c r="N73" s="5"/>
      <c r="O73" s="5"/>
      <c r="P73" s="11">
        <f t="shared" si="16"/>
        <v>0</v>
      </c>
      <c r="Q73" s="8"/>
      <c r="R73" s="51">
        <f t="shared" si="11"/>
        <v>593.43</v>
      </c>
      <c r="S73" s="18">
        <v>77.9</v>
      </c>
      <c r="T73" s="18">
        <f>PRODUCT(T74*T75*12)/1000</f>
        <v>317.34</v>
      </c>
      <c r="U73" s="18">
        <f>PRODUCT(U74*U75*12)/1000</f>
        <v>469.6632000000001</v>
      </c>
      <c r="V73" s="39">
        <v>515.53</v>
      </c>
      <c r="W73" s="51">
        <f t="shared" si="9"/>
        <v>593.43</v>
      </c>
      <c r="X73" s="18">
        <v>77.9</v>
      </c>
      <c r="Y73" s="39">
        <v>515.53</v>
      </c>
    </row>
    <row r="74" spans="2:25" ht="15" customHeight="1" hidden="1">
      <c r="B74" s="33"/>
      <c r="C74" s="8"/>
      <c r="D74" s="9">
        <f>SUM(E74:F74)</f>
        <v>1480.68</v>
      </c>
      <c r="E74" s="9">
        <v>195.96</v>
      </c>
      <c r="F74" s="9">
        <v>1284.72</v>
      </c>
      <c r="G74" s="9">
        <v>1367.21</v>
      </c>
      <c r="H74" s="9">
        <f>PRODUCT(G74*0.0508)</f>
        <v>69.454268</v>
      </c>
      <c r="I74" s="9">
        <f>PRODUCT(G74*0.2602)</f>
        <v>355.748042</v>
      </c>
      <c r="J74" s="9">
        <f>PRODUCT(G74*0.689)</f>
        <v>942.0076899999999</v>
      </c>
      <c r="K74" s="11">
        <f t="shared" si="10"/>
        <v>1297.7557319999999</v>
      </c>
      <c r="L74" s="34">
        <f t="shared" si="15"/>
        <v>0</v>
      </c>
      <c r="M74" s="5"/>
      <c r="N74" s="5"/>
      <c r="O74" s="5"/>
      <c r="P74" s="11">
        <f t="shared" si="16"/>
        <v>0</v>
      </c>
      <c r="Q74" s="8"/>
      <c r="R74" s="51">
        <v>4.44</v>
      </c>
      <c r="S74" s="5">
        <v>0.58</v>
      </c>
      <c r="T74" s="5">
        <v>1.5</v>
      </c>
      <c r="U74" s="5">
        <v>2.22</v>
      </c>
      <c r="V74" s="39">
        <v>3.86</v>
      </c>
      <c r="W74" s="51">
        <v>4.44</v>
      </c>
      <c r="X74" s="5">
        <v>0.58</v>
      </c>
      <c r="Y74" s="39">
        <v>3.86</v>
      </c>
    </row>
    <row r="75" spans="2:25" ht="15" customHeight="1" hidden="1">
      <c r="B75" s="73" t="s">
        <v>108</v>
      </c>
      <c r="C75" s="8"/>
      <c r="D75" s="9">
        <f aca="true" t="shared" si="17" ref="D75:D84">SUM(E75+F75)</f>
        <v>0</v>
      </c>
      <c r="E75" s="5"/>
      <c r="F75" s="5"/>
      <c r="G75" s="9">
        <f>SUM(H75:J75)</f>
        <v>0</v>
      </c>
      <c r="H75" s="5"/>
      <c r="I75" s="5"/>
      <c r="J75" s="5"/>
      <c r="K75" s="11">
        <f t="shared" si="10"/>
        <v>0</v>
      </c>
      <c r="L75" s="34">
        <f t="shared" si="15"/>
        <v>0</v>
      </c>
      <c r="M75" s="5"/>
      <c r="N75" s="5"/>
      <c r="O75" s="5"/>
      <c r="P75" s="11">
        <f t="shared" si="16"/>
        <v>0</v>
      </c>
      <c r="Q75" s="8"/>
      <c r="R75" s="51">
        <v>11138</v>
      </c>
      <c r="S75" s="5">
        <v>11138</v>
      </c>
      <c r="T75" s="5">
        <v>17630</v>
      </c>
      <c r="U75" s="5">
        <v>17630</v>
      </c>
      <c r="V75" s="50">
        <v>11138</v>
      </c>
      <c r="W75" s="51">
        <v>11138</v>
      </c>
      <c r="X75" s="5">
        <v>11138</v>
      </c>
      <c r="Y75" s="50">
        <v>11138</v>
      </c>
    </row>
    <row r="76" spans="2:25" ht="15" customHeight="1" hidden="1">
      <c r="B76" s="33"/>
      <c r="C76" s="8"/>
      <c r="D76" s="9">
        <f t="shared" si="17"/>
        <v>0</v>
      </c>
      <c r="E76" s="5"/>
      <c r="F76" s="5"/>
      <c r="G76" s="9">
        <f>SUM(H76:J76)</f>
        <v>0</v>
      </c>
      <c r="H76" s="5"/>
      <c r="I76" s="5"/>
      <c r="J76" s="5"/>
      <c r="K76" s="11">
        <f t="shared" si="10"/>
        <v>0</v>
      </c>
      <c r="L76" s="34">
        <f t="shared" si="15"/>
        <v>0</v>
      </c>
      <c r="M76" s="5"/>
      <c r="N76" s="5"/>
      <c r="O76" s="5"/>
      <c r="P76" s="11">
        <f t="shared" si="16"/>
        <v>0</v>
      </c>
      <c r="Q76" s="8"/>
      <c r="R76" s="51">
        <v>159.63</v>
      </c>
      <c r="S76" s="10">
        <v>20.95</v>
      </c>
      <c r="T76" s="10">
        <f>PRODUCT(T73*0.266)</f>
        <v>84.41244</v>
      </c>
      <c r="U76" s="10">
        <f>PRODUCT(U73*0.266)</f>
        <v>124.93041120000002</v>
      </c>
      <c r="V76" s="58">
        <v>138.68</v>
      </c>
      <c r="W76" s="51">
        <v>159.63</v>
      </c>
      <c r="X76" s="10">
        <v>20.95</v>
      </c>
      <c r="Y76" s="58">
        <v>138.68</v>
      </c>
    </row>
    <row r="77" spans="2:25" ht="15" customHeight="1" hidden="1">
      <c r="B77" s="75" t="s">
        <v>109</v>
      </c>
      <c r="C77" s="8"/>
      <c r="D77" s="9">
        <f t="shared" si="17"/>
        <v>0</v>
      </c>
      <c r="E77" s="5"/>
      <c r="F77" s="5"/>
      <c r="G77" s="9">
        <f>SUM(H77:J77)</f>
        <v>0</v>
      </c>
      <c r="H77" s="5"/>
      <c r="I77" s="5"/>
      <c r="J77" s="5"/>
      <c r="K77" s="11">
        <f t="shared" si="10"/>
        <v>0</v>
      </c>
      <c r="L77" s="34">
        <f t="shared" si="15"/>
        <v>0</v>
      </c>
      <c r="M77" s="5"/>
      <c r="N77" s="5"/>
      <c r="O77" s="5"/>
      <c r="P77" s="11">
        <f t="shared" si="16"/>
        <v>0</v>
      </c>
      <c r="Q77" s="8"/>
      <c r="R77" s="51">
        <f>SUM(S77:V77)</f>
        <v>226.10999999999999</v>
      </c>
      <c r="S77" s="9">
        <v>20.19</v>
      </c>
      <c r="T77" s="9"/>
      <c r="U77" s="9"/>
      <c r="V77" s="39">
        <v>205.92</v>
      </c>
      <c r="W77" s="51">
        <f>SUM(X77:Y77)</f>
        <v>226.10999999999999</v>
      </c>
      <c r="X77" s="9">
        <v>20.19</v>
      </c>
      <c r="Y77" s="39">
        <v>205.92</v>
      </c>
    </row>
    <row r="78" spans="2:25" ht="13.5" customHeight="1" hidden="1">
      <c r="B78" s="33"/>
      <c r="C78" s="8"/>
      <c r="D78" s="9">
        <f t="shared" si="17"/>
        <v>0</v>
      </c>
      <c r="E78" s="5"/>
      <c r="F78" s="5"/>
      <c r="G78" s="9">
        <f>SUM(H78:J78)</f>
        <v>0</v>
      </c>
      <c r="H78" s="5"/>
      <c r="I78" s="5"/>
      <c r="J78" s="5"/>
      <c r="K78" s="11">
        <f t="shared" si="10"/>
        <v>0</v>
      </c>
      <c r="L78" s="34">
        <f t="shared" si="15"/>
        <v>0</v>
      </c>
      <c r="M78" s="5"/>
      <c r="N78" s="5"/>
      <c r="O78" s="5"/>
      <c r="P78" s="11">
        <f t="shared" si="16"/>
        <v>0</v>
      </c>
      <c r="Q78" s="8"/>
      <c r="R78" s="51">
        <v>1.25586</v>
      </c>
      <c r="S78" s="18"/>
      <c r="T78" s="18"/>
      <c r="U78" s="18"/>
      <c r="V78" s="64"/>
      <c r="W78" s="51">
        <v>1.25586</v>
      </c>
      <c r="X78" s="18"/>
      <c r="Y78" s="64"/>
    </row>
    <row r="79" spans="2:25" ht="55.5" customHeight="1" hidden="1">
      <c r="B79" s="33" t="s">
        <v>110</v>
      </c>
      <c r="C79" s="8"/>
      <c r="D79" s="9">
        <f t="shared" si="17"/>
        <v>0</v>
      </c>
      <c r="E79" s="5"/>
      <c r="F79" s="5"/>
      <c r="G79" s="9">
        <f>SUM(H79:J79)</f>
        <v>0</v>
      </c>
      <c r="H79" s="5"/>
      <c r="I79" s="5"/>
      <c r="J79" s="5"/>
      <c r="K79" s="11">
        <f t="shared" si="10"/>
        <v>0</v>
      </c>
      <c r="L79" s="34">
        <f t="shared" si="15"/>
        <v>0</v>
      </c>
      <c r="M79" s="9"/>
      <c r="N79" s="9"/>
      <c r="O79" s="9"/>
      <c r="P79" s="11">
        <f t="shared" si="16"/>
        <v>0</v>
      </c>
      <c r="Q79" s="8"/>
      <c r="R79" s="51">
        <v>122.508</v>
      </c>
      <c r="S79" s="18"/>
      <c r="T79" s="18"/>
      <c r="U79" s="18"/>
      <c r="V79" s="64"/>
      <c r="W79" s="51">
        <v>122.508</v>
      </c>
      <c r="X79" s="18"/>
      <c r="Y79" s="64"/>
    </row>
    <row r="80" spans="2:25" ht="12.75" customHeight="1" hidden="1">
      <c r="B80" s="33"/>
      <c r="C80" s="8"/>
      <c r="D80" s="9"/>
      <c r="E80" s="5"/>
      <c r="F80" s="5"/>
      <c r="G80" s="9"/>
      <c r="H80" s="5"/>
      <c r="I80" s="5"/>
      <c r="J80" s="5"/>
      <c r="K80" s="11"/>
      <c r="L80" s="34">
        <f t="shared" si="15"/>
        <v>0</v>
      </c>
      <c r="M80" s="5"/>
      <c r="N80" s="5"/>
      <c r="O80" s="5"/>
      <c r="P80" s="11">
        <f t="shared" si="16"/>
        <v>0</v>
      </c>
      <c r="Q80" s="8"/>
      <c r="R80" s="51">
        <v>12.479</v>
      </c>
      <c r="S80" s="18"/>
      <c r="T80" s="18"/>
      <c r="U80" s="18"/>
      <c r="V80" s="64"/>
      <c r="W80" s="51">
        <v>12.479</v>
      </c>
      <c r="X80" s="18"/>
      <c r="Y80" s="64"/>
    </row>
    <row r="81" spans="2:25" ht="15" customHeight="1" hidden="1">
      <c r="B81" s="33" t="s">
        <v>111</v>
      </c>
      <c r="C81" s="8"/>
      <c r="D81" s="9"/>
      <c r="E81" s="5"/>
      <c r="F81" s="5"/>
      <c r="G81" s="9"/>
      <c r="H81" s="5"/>
      <c r="I81" s="5"/>
      <c r="J81" s="5"/>
      <c r="K81" s="11"/>
      <c r="L81" s="34">
        <f t="shared" si="15"/>
        <v>0</v>
      </c>
      <c r="M81" s="5"/>
      <c r="N81" s="5"/>
      <c r="O81" s="5"/>
      <c r="P81" s="11">
        <f t="shared" si="16"/>
        <v>0</v>
      </c>
      <c r="Q81" s="8"/>
      <c r="R81" s="51">
        <v>1.516</v>
      </c>
      <c r="S81" s="18"/>
      <c r="T81" s="18"/>
      <c r="U81" s="18"/>
      <c r="V81" s="64"/>
      <c r="W81" s="51">
        <v>1.516</v>
      </c>
      <c r="X81" s="18"/>
      <c r="Y81" s="64"/>
    </row>
    <row r="82" spans="2:25" ht="40.5" customHeight="1" hidden="1">
      <c r="B82" s="33" t="s">
        <v>112</v>
      </c>
      <c r="C82" s="8"/>
      <c r="D82" s="9"/>
      <c r="E82" s="5"/>
      <c r="F82" s="5"/>
      <c r="G82" s="9"/>
      <c r="H82" s="5"/>
      <c r="I82" s="5"/>
      <c r="J82" s="5"/>
      <c r="K82" s="11"/>
      <c r="L82" s="34">
        <f t="shared" si="15"/>
        <v>435</v>
      </c>
      <c r="M82" s="9">
        <f>SUM(M83:M85)</f>
        <v>0</v>
      </c>
      <c r="N82" s="9">
        <f>SUM(N83:N85)</f>
        <v>0</v>
      </c>
      <c r="O82" s="9">
        <f>SUM(O83:O85)</f>
        <v>0</v>
      </c>
      <c r="P82" s="11">
        <v>435</v>
      </c>
      <c r="Q82" s="8"/>
      <c r="R82" s="51">
        <v>48.267</v>
      </c>
      <c r="S82" s="18"/>
      <c r="T82" s="18"/>
      <c r="U82" s="18"/>
      <c r="V82" s="64"/>
      <c r="W82" s="51">
        <v>48.267</v>
      </c>
      <c r="X82" s="18"/>
      <c r="Y82" s="64"/>
    </row>
    <row r="83" spans="2:25" ht="15.75" customHeight="1" hidden="1">
      <c r="B83" s="33" t="s">
        <v>113</v>
      </c>
      <c r="C83" s="8"/>
      <c r="D83" s="9">
        <f t="shared" si="17"/>
        <v>0</v>
      </c>
      <c r="E83" s="9"/>
      <c r="F83" s="9"/>
      <c r="G83" s="9">
        <f>SUM(H83:J83)</f>
        <v>0</v>
      </c>
      <c r="H83" s="9"/>
      <c r="I83" s="9"/>
      <c r="J83" s="9"/>
      <c r="K83" s="11">
        <f>SUM(I83:J83)</f>
        <v>0</v>
      </c>
      <c r="L83" s="34">
        <f t="shared" si="15"/>
        <v>0</v>
      </c>
      <c r="M83" s="5"/>
      <c r="N83" s="5"/>
      <c r="O83" s="5"/>
      <c r="P83" s="11">
        <f t="shared" si="16"/>
        <v>0</v>
      </c>
      <c r="Q83" s="8"/>
      <c r="R83" s="51">
        <v>53.037</v>
      </c>
      <c r="S83" s="18"/>
      <c r="T83" s="18"/>
      <c r="U83" s="18"/>
      <c r="V83" s="64"/>
      <c r="W83" s="51">
        <v>53.037</v>
      </c>
      <c r="X83" s="18"/>
      <c r="Y83" s="64"/>
    </row>
    <row r="84" spans="2:25" ht="13.5" customHeight="1" hidden="1">
      <c r="B84" s="33" t="s">
        <v>114</v>
      </c>
      <c r="C84" s="8"/>
      <c r="D84" s="9">
        <f t="shared" si="17"/>
        <v>0</v>
      </c>
      <c r="E84" s="5"/>
      <c r="F84" s="5"/>
      <c r="G84" s="9">
        <f>SUM(H84:J84)</f>
        <v>0</v>
      </c>
      <c r="H84" s="5"/>
      <c r="I84" s="5"/>
      <c r="J84" s="5"/>
      <c r="K84" s="11">
        <f>SUM(I84:J84)</f>
        <v>0</v>
      </c>
      <c r="L84" s="34">
        <f t="shared" si="15"/>
        <v>0</v>
      </c>
      <c r="M84" s="5"/>
      <c r="N84" s="5"/>
      <c r="O84" s="5"/>
      <c r="P84" s="11">
        <f t="shared" si="16"/>
        <v>0</v>
      </c>
      <c r="Q84" s="8"/>
      <c r="R84" s="51">
        <v>54.9086</v>
      </c>
      <c r="S84" s="18"/>
      <c r="T84" s="18"/>
      <c r="U84" s="18"/>
      <c r="V84" s="64"/>
      <c r="W84" s="51">
        <v>54.9086</v>
      </c>
      <c r="X84" s="18"/>
      <c r="Y84" s="64"/>
    </row>
    <row r="85" spans="2:25" ht="36" customHeight="1">
      <c r="B85" s="24">
        <v>8</v>
      </c>
      <c r="C85" s="32" t="s">
        <v>115</v>
      </c>
      <c r="D85" s="9">
        <f>SUM(E85:F85)</f>
        <v>1480.68</v>
      </c>
      <c r="E85" s="9">
        <v>195.96</v>
      </c>
      <c r="F85" s="9">
        <v>1284.72</v>
      </c>
      <c r="G85" s="9">
        <v>2972.426</v>
      </c>
      <c r="H85" s="9">
        <f>AVERAGE(G85*0.0508)</f>
        <v>150.9992408</v>
      </c>
      <c r="I85" s="9">
        <f>PRODUCT(G85*0.2602)</f>
        <v>773.4252452</v>
      </c>
      <c r="J85" s="9">
        <f>PRODUCT(G85*0.689)</f>
        <v>2048.0015139999996</v>
      </c>
      <c r="K85" s="9">
        <f>SUM(I85:J85)</f>
        <v>2821.4267591999997</v>
      </c>
      <c r="L85" s="76">
        <f>SUM(J85:K85)</f>
        <v>4869.428273199999</v>
      </c>
      <c r="M85" s="5"/>
      <c r="N85" s="5"/>
      <c r="O85" s="5"/>
      <c r="P85" s="11"/>
      <c r="Q85" s="8"/>
      <c r="R85" s="51">
        <f>SUM(S85,V85)</f>
        <v>1582.75091</v>
      </c>
      <c r="S85" s="9">
        <v>139.28</v>
      </c>
      <c r="T85" s="9">
        <v>284.89321</v>
      </c>
      <c r="U85" s="9">
        <v>1158.5777</v>
      </c>
      <c r="V85" s="39">
        <f>SUM(T85:U85)</f>
        <v>1443.47091</v>
      </c>
      <c r="W85" s="51">
        <f>SUM(X85,Y85)</f>
        <v>1573.775</v>
      </c>
      <c r="X85" s="9">
        <v>138.49</v>
      </c>
      <c r="Y85" s="39">
        <v>1435.285</v>
      </c>
    </row>
    <row r="86" spans="2:25" ht="50.25" customHeight="1">
      <c r="B86" s="24"/>
      <c r="C86" s="77" t="s">
        <v>143</v>
      </c>
      <c r="D86" s="78">
        <f>SUM(E86:F86)</f>
        <v>375.79999999999995</v>
      </c>
      <c r="E86" s="78">
        <v>48.91</v>
      </c>
      <c r="F86" s="78">
        <v>326.89</v>
      </c>
      <c r="G86" s="78"/>
      <c r="H86" s="78"/>
      <c r="I86" s="78"/>
      <c r="J86" s="78"/>
      <c r="K86" s="78"/>
      <c r="L86" s="78">
        <f>SUM(M86+P86)</f>
        <v>591.8240000000001</v>
      </c>
      <c r="M86" s="78">
        <v>44.849</v>
      </c>
      <c r="N86" s="78">
        <v>134.117</v>
      </c>
      <c r="O86" s="78">
        <v>412.858</v>
      </c>
      <c r="P86" s="78">
        <f>SUM(N86:O86)</f>
        <v>546.975</v>
      </c>
      <c r="Q86" s="78"/>
      <c r="R86" s="49"/>
      <c r="S86" s="5"/>
      <c r="T86" s="5"/>
      <c r="U86" s="5"/>
      <c r="V86" s="53"/>
      <c r="W86" s="49"/>
      <c r="X86" s="5"/>
      <c r="Y86" s="53"/>
    </row>
    <row r="87" spans="2:25" ht="25.5" customHeight="1">
      <c r="B87" s="24"/>
      <c r="C87" s="32" t="s">
        <v>116</v>
      </c>
      <c r="D87" s="5"/>
      <c r="E87" s="5"/>
      <c r="F87" s="5"/>
      <c r="G87" s="5"/>
      <c r="H87" s="5"/>
      <c r="I87" s="5"/>
      <c r="J87" s="5"/>
      <c r="K87" s="5"/>
      <c r="L87" s="79"/>
      <c r="M87" s="10"/>
      <c r="N87" s="10"/>
      <c r="O87" s="10"/>
      <c r="P87" s="10"/>
      <c r="Q87" s="8"/>
      <c r="R87" s="80"/>
      <c r="S87" s="13">
        <v>79.58382</v>
      </c>
      <c r="T87" s="13">
        <v>449.98</v>
      </c>
      <c r="U87" s="13">
        <v>891.01</v>
      </c>
      <c r="V87" s="39">
        <v>1261.412</v>
      </c>
      <c r="W87" s="80">
        <f>SUM(X87+Y87)</f>
        <v>758.4</v>
      </c>
      <c r="X87" s="13">
        <v>65.09</v>
      </c>
      <c r="Y87" s="39">
        <v>693.31</v>
      </c>
    </row>
    <row r="88" spans="2:25" ht="21" customHeight="1">
      <c r="B88" s="24"/>
      <c r="C88" s="32" t="s">
        <v>117</v>
      </c>
      <c r="D88" s="5"/>
      <c r="E88" s="5"/>
      <c r="F88" s="5"/>
      <c r="G88" s="5"/>
      <c r="H88" s="5"/>
      <c r="I88" s="5"/>
      <c r="J88" s="5"/>
      <c r="K88" s="5"/>
      <c r="L88" s="79"/>
      <c r="M88" s="10"/>
      <c r="N88" s="10"/>
      <c r="O88" s="10"/>
      <c r="P88" s="10"/>
      <c r="Q88" s="8"/>
      <c r="R88" s="80"/>
      <c r="S88" s="13">
        <v>-11.81631</v>
      </c>
      <c r="T88" s="13">
        <v>-66.05</v>
      </c>
      <c r="U88" s="13">
        <v>-175.41</v>
      </c>
      <c r="V88" s="39">
        <v>-229.64126</v>
      </c>
      <c r="W88" s="80">
        <f>SUM(X88+Y88)</f>
        <v>-1172.27</v>
      </c>
      <c r="X88" s="13">
        <v>-100.61</v>
      </c>
      <c r="Y88" s="39">
        <v>-1071.66</v>
      </c>
    </row>
    <row r="89" spans="2:26" ht="28.5" customHeight="1">
      <c r="B89" s="24">
        <v>13</v>
      </c>
      <c r="C89" s="32" t="s">
        <v>118</v>
      </c>
      <c r="D89" s="9" t="e">
        <f>SUM(D86+#REF!+D83+D74+D60+D56+D55+D51+D46+D29+D22)</f>
        <v>#REF!</v>
      </c>
      <c r="E89" s="9">
        <v>6035.79</v>
      </c>
      <c r="F89" s="9">
        <v>32963.11</v>
      </c>
      <c r="G89" s="9" t="e">
        <f>SUM(H89+K89)</f>
        <v>#REF!</v>
      </c>
      <c r="H89" s="9" t="e">
        <f>SUM(#REF!+H86+H85+H60+H56+H55+H51+H46+H29+H22)</f>
        <v>#REF!</v>
      </c>
      <c r="I89" s="9" t="e">
        <f>SUM(#REF!+I86+I85+I60+I56+I55+I51+I46+I29+I22)</f>
        <v>#REF!</v>
      </c>
      <c r="J89" s="9" t="e">
        <f>SUM(#REF!+J86+J85+J60+J56+J55+J51+J46+J29+J22)</f>
        <v>#REF!</v>
      </c>
      <c r="K89" s="9" t="e">
        <f>SUM(#REF!+K86+K85+K60+K56+K55+K51+K46+K29+K22)</f>
        <v>#REF!</v>
      </c>
      <c r="L89" s="9" t="e">
        <f>SUM(#REF!+L86+L85+L60+L56+L55+L51+L46+L29+L22)</f>
        <v>#REF!</v>
      </c>
      <c r="M89" s="9" t="e">
        <f>SUM(#REF!+M86+M85+M60+M56+M55+M51+M46+M29+M22)</f>
        <v>#REF!</v>
      </c>
      <c r="N89" s="9" t="e">
        <f>SUM(#REF!+N86+N85+N60+N56+N55+N51+N46+N29+N22)</f>
        <v>#REF!</v>
      </c>
      <c r="O89" s="9" t="e">
        <f>SUM(#REF!+O86+O85+O60+O56+O55+O51+O46+O29+O22)</f>
        <v>#REF!</v>
      </c>
      <c r="P89" s="9" t="e">
        <f>SUM(#REF!+P86+P85+P60+P56+P55+P51+P46+P29+P22)</f>
        <v>#REF!</v>
      </c>
      <c r="Q89" s="9" t="e">
        <f>SUM(#REF!+Q86+Q85+Q60+Q56+Q55+Q51+Q46+Q29+Q22)</f>
        <v>#REF!</v>
      </c>
      <c r="R89" s="51" t="e">
        <f>SUM(#REF!+R86+R85+R60+R56+R55+R51+R46+R29+R22)</f>
        <v>#REF!</v>
      </c>
      <c r="S89" s="9" t="e">
        <f>SUM(#REF!+S86+S85+S60+S56+S55+S51+S46+S29+S22)</f>
        <v>#REF!</v>
      </c>
      <c r="T89" s="9" t="e">
        <f>SUM(#REF!+T86+T85+T60+T56+T55+T51+T46+T29+T22)</f>
        <v>#REF!</v>
      </c>
      <c r="U89" s="9" t="e">
        <f>SUM(#REF!+U86+U85+U60+U56+U55+U51+U46+U29+U22)</f>
        <v>#REF!</v>
      </c>
      <c r="V89" s="39" t="e">
        <f>SUM(#REF!+V86+V85+V60+V56+V55+V51+V46+V29+V22)</f>
        <v>#REF!</v>
      </c>
      <c r="W89" s="51">
        <f>SUM(X89:Y89)</f>
        <v>52929.649999999994</v>
      </c>
      <c r="X89" s="9">
        <v>5990.84</v>
      </c>
      <c r="Y89" s="39">
        <v>46938.81</v>
      </c>
      <c r="Z89" s="22"/>
    </row>
    <row r="90" spans="2:25" ht="18" customHeight="1">
      <c r="B90" s="33" t="s">
        <v>112</v>
      </c>
      <c r="C90" s="32" t="s">
        <v>119</v>
      </c>
      <c r="D90" s="9">
        <f>SUM(E90+F90)/2</f>
        <v>741.899029077198</v>
      </c>
      <c r="E90" s="10">
        <f>PRODUCT(E89/E16)*1000</f>
        <v>809.4788496846329</v>
      </c>
      <c r="F90" s="10">
        <f>PRODUCT(F89/F16)*1000</f>
        <v>674.319208469763</v>
      </c>
      <c r="G90" s="9" t="e">
        <f>G89/G16*1000</f>
        <v>#REF!</v>
      </c>
      <c r="H90" s="10" t="e">
        <f>#REF!/H16*1000</f>
        <v>#REF!</v>
      </c>
      <c r="I90" s="10" t="e">
        <f>#REF!/I16*1000</f>
        <v>#REF!</v>
      </c>
      <c r="J90" s="10" t="e">
        <f>#REF!/J16*1000</f>
        <v>#REF!</v>
      </c>
      <c r="K90" s="10" t="e">
        <f>#REF!/K16*1000</f>
        <v>#REF!</v>
      </c>
      <c r="L90" s="38"/>
      <c r="M90" s="12"/>
      <c r="N90" s="12"/>
      <c r="O90" s="12"/>
      <c r="P90" s="12"/>
      <c r="Q90" s="8"/>
      <c r="R90" s="51" t="e">
        <f>AVERAGE(R89/R16)*1000</f>
        <v>#REF!</v>
      </c>
      <c r="S90" s="10" t="e">
        <f>PRODUCT(S89/S16)*1000</f>
        <v>#REF!</v>
      </c>
      <c r="T90" s="10" t="e">
        <f>PRODUCT(T89/T16)*1000</f>
        <v>#REF!</v>
      </c>
      <c r="U90" s="10" t="e">
        <f>PRODUCT(U89/U16)*1000</f>
        <v>#REF!</v>
      </c>
      <c r="V90" s="58" t="e">
        <f>PRODUCT(V89/V16)*1000</f>
        <v>#REF!</v>
      </c>
      <c r="W90" s="51">
        <f>AVERAGE(W89/W16)*1000</f>
        <v>1091.1516560340692</v>
      </c>
      <c r="X90" s="10">
        <f>PRODUCT(X89/X16)*1000</f>
        <v>1383.0100606222904</v>
      </c>
      <c r="Y90" s="58">
        <f>PRODUCT(Y89/Y16)*1000</f>
        <v>1062.53327574592</v>
      </c>
    </row>
    <row r="91" spans="2:25" ht="18" customHeight="1">
      <c r="B91" s="33" t="s">
        <v>113</v>
      </c>
      <c r="C91" s="32" t="s">
        <v>120</v>
      </c>
      <c r="D91" s="9"/>
      <c r="E91" s="17"/>
      <c r="F91" s="17"/>
      <c r="G91" s="9"/>
      <c r="H91" s="10"/>
      <c r="I91" s="10"/>
      <c r="J91" s="10"/>
      <c r="K91" s="10"/>
      <c r="L91" s="38"/>
      <c r="M91" s="12"/>
      <c r="N91" s="12"/>
      <c r="O91" s="12"/>
      <c r="P91" s="12"/>
      <c r="Q91" s="8"/>
      <c r="R91" s="51"/>
      <c r="S91" s="10"/>
      <c r="T91" s="10"/>
      <c r="U91" s="10"/>
      <c r="V91" s="58"/>
      <c r="W91" s="51">
        <v>55.42</v>
      </c>
      <c r="X91" s="10">
        <v>42.03</v>
      </c>
      <c r="Y91" s="58">
        <v>57.13</v>
      </c>
    </row>
    <row r="92" spans="2:25" ht="18" customHeight="1">
      <c r="B92" s="24" t="s">
        <v>114</v>
      </c>
      <c r="C92" s="32" t="s">
        <v>121</v>
      </c>
      <c r="D92" s="9">
        <f>SUM(E92:F92)</f>
        <v>1300.6999999999998</v>
      </c>
      <c r="E92" s="9">
        <v>172.14</v>
      </c>
      <c r="F92" s="9">
        <v>1128.56</v>
      </c>
      <c r="G92" s="9">
        <f>SUM(G95:G100)</f>
        <v>1482.8125</v>
      </c>
      <c r="H92" s="9">
        <f>SUM(H94:H100)</f>
        <v>84.09247500000001</v>
      </c>
      <c r="I92" s="9">
        <f>SUM(I95:I100)</f>
        <v>385.8278125</v>
      </c>
      <c r="J92" s="9">
        <f>SUM(J95:J100)</f>
        <v>1021.6578124999999</v>
      </c>
      <c r="K92" s="9">
        <f>SUM(I92:J92)</f>
        <v>1407.4856249999998</v>
      </c>
      <c r="L92" s="23" t="e">
        <f>AVERAGE(F103/#REF!)</f>
        <v>#REF!</v>
      </c>
      <c r="M92" s="23"/>
      <c r="N92" s="23"/>
      <c r="O92" s="23"/>
      <c r="P92" s="23"/>
      <c r="Q92" s="8"/>
      <c r="R92" s="51">
        <f>SUM(S92+V92)</f>
        <v>1918.4495124999999</v>
      </c>
      <c r="S92" s="9">
        <f>SUM(S95+S97)</f>
        <v>118.1955</v>
      </c>
      <c r="T92" s="9">
        <f>SUM(T95+T97)</f>
        <v>300.875</v>
      </c>
      <c r="U92" s="9">
        <f>SUM(U95+U97)</f>
        <v>1499.3790125</v>
      </c>
      <c r="V92" s="39">
        <f>SUM(V95+V97)</f>
        <v>1800.2540124999998</v>
      </c>
      <c r="W92" s="51">
        <f>SUM(X92+Y92)</f>
        <v>1013.6999999999999</v>
      </c>
      <c r="X92" s="9">
        <v>91.15</v>
      </c>
      <c r="Y92" s="39">
        <v>922.55</v>
      </c>
    </row>
    <row r="93" spans="2:25" ht="32.25" customHeight="1">
      <c r="B93" s="24"/>
      <c r="C93" s="32" t="s">
        <v>122</v>
      </c>
      <c r="D93" s="5"/>
      <c r="E93" s="5"/>
      <c r="F93" s="5"/>
      <c r="G93" s="5"/>
      <c r="H93" s="5"/>
      <c r="I93" s="5"/>
      <c r="J93" s="5"/>
      <c r="K93" s="10"/>
      <c r="L93" s="81"/>
      <c r="M93" s="81"/>
      <c r="N93" s="81"/>
      <c r="O93" s="81"/>
      <c r="P93" s="81"/>
      <c r="Q93" s="81"/>
      <c r="R93" s="49"/>
      <c r="S93" s="5"/>
      <c r="T93" s="5"/>
      <c r="U93" s="5"/>
      <c r="V93" s="53"/>
      <c r="W93" s="49"/>
      <c r="X93" s="5"/>
      <c r="Y93" s="53"/>
    </row>
    <row r="94" spans="2:25" ht="18" customHeight="1">
      <c r="B94" s="24"/>
      <c r="C94" s="32" t="s">
        <v>123</v>
      </c>
      <c r="D94" s="9"/>
      <c r="E94" s="13"/>
      <c r="F94" s="13"/>
      <c r="G94" s="9">
        <f>SUM(H94:J94)</f>
        <v>0</v>
      </c>
      <c r="H94" s="10"/>
      <c r="I94" s="10"/>
      <c r="J94" s="10"/>
      <c r="K94" s="10">
        <f>SUM(I95:J95)</f>
        <v>808.57602</v>
      </c>
      <c r="L94" s="81"/>
      <c r="M94" s="81"/>
      <c r="N94" s="81"/>
      <c r="O94" s="81"/>
      <c r="P94" s="81"/>
      <c r="Q94" s="81"/>
      <c r="R94" s="51"/>
      <c r="S94" s="5"/>
      <c r="T94" s="5"/>
      <c r="U94" s="5"/>
      <c r="V94" s="53"/>
      <c r="W94" s="51"/>
      <c r="X94" s="5"/>
      <c r="Y94" s="53"/>
    </row>
    <row r="95" spans="2:25" ht="18" customHeight="1">
      <c r="B95" s="24"/>
      <c r="C95" s="32" t="s">
        <v>124</v>
      </c>
      <c r="D95" s="9">
        <f>SUM(D92-D100-D99)</f>
        <v>237.82799999999986</v>
      </c>
      <c r="E95" s="13"/>
      <c r="F95" s="13"/>
      <c r="G95" s="9">
        <v>851.85</v>
      </c>
      <c r="H95" s="13">
        <f>AVERAGE(G95*0.0508)</f>
        <v>43.27398</v>
      </c>
      <c r="I95" s="13">
        <f>AVERAGE(G95*0.2602)</f>
        <v>221.65137</v>
      </c>
      <c r="J95" s="13">
        <f>AVERAGE(G95*0.689)</f>
        <v>586.9246499999999</v>
      </c>
      <c r="K95" s="10">
        <f>SUM(I100:J100)</f>
        <v>396.76559999999995</v>
      </c>
      <c r="L95" s="81"/>
      <c r="M95" s="81"/>
      <c r="N95" s="81"/>
      <c r="O95" s="81"/>
      <c r="P95" s="81"/>
      <c r="Q95" s="81"/>
      <c r="R95" s="51">
        <f>SUM(S95,V95)</f>
        <v>1197.8260099999998</v>
      </c>
      <c r="S95" s="13">
        <v>83.85</v>
      </c>
      <c r="T95" s="13">
        <v>215.6</v>
      </c>
      <c r="U95" s="13">
        <v>898.37601</v>
      </c>
      <c r="V95" s="74">
        <f>SUM(T95,U95)</f>
        <v>1113.9760099999999</v>
      </c>
      <c r="W95" s="51">
        <f>SUM(X95,Y95)</f>
        <v>474.02</v>
      </c>
      <c r="X95" s="13">
        <v>62.21</v>
      </c>
      <c r="Y95" s="74">
        <v>411.81</v>
      </c>
    </row>
    <row r="96" spans="2:25" ht="18" customHeight="1">
      <c r="B96" s="24"/>
      <c r="C96" s="32" t="s">
        <v>125</v>
      </c>
      <c r="D96" s="9"/>
      <c r="E96" s="13"/>
      <c r="F96" s="13"/>
      <c r="G96" s="9"/>
      <c r="H96" s="13"/>
      <c r="I96" s="13"/>
      <c r="J96" s="13"/>
      <c r="K96" s="8"/>
      <c r="L96" s="8"/>
      <c r="M96" s="8"/>
      <c r="N96" s="8"/>
      <c r="O96" s="8"/>
      <c r="P96" s="8"/>
      <c r="Q96" s="8"/>
      <c r="R96" s="51"/>
      <c r="S96" s="5"/>
      <c r="T96" s="5"/>
      <c r="U96" s="5"/>
      <c r="V96" s="53"/>
      <c r="W96" s="51"/>
      <c r="X96" s="5"/>
      <c r="Y96" s="53"/>
    </row>
    <row r="97" spans="2:25" ht="18" customHeight="1">
      <c r="B97" s="24"/>
      <c r="C97" s="32" t="s">
        <v>126</v>
      </c>
      <c r="D97" s="5"/>
      <c r="E97" s="5"/>
      <c r="F97" s="5"/>
      <c r="G97" s="5"/>
      <c r="H97" s="5"/>
      <c r="I97" s="5"/>
      <c r="J97" s="5"/>
      <c r="K97" s="5"/>
      <c r="L97" s="8"/>
      <c r="M97" s="8"/>
      <c r="N97" s="8"/>
      <c r="O97" s="8"/>
      <c r="P97" s="8"/>
      <c r="Q97" s="8"/>
      <c r="R97" s="57">
        <f>SUM(R99+R100)</f>
        <v>720.6235024999999</v>
      </c>
      <c r="S97" s="10">
        <f>SUM(S99+S100)</f>
        <v>34.3455</v>
      </c>
      <c r="T97" s="10">
        <f>SUM(T99+T100)</f>
        <v>85.275</v>
      </c>
      <c r="U97" s="10">
        <f>SUM(U99+U100)</f>
        <v>601.0030025</v>
      </c>
      <c r="V97" s="58">
        <f>SUM(V99+V100)</f>
        <v>686.2780025</v>
      </c>
      <c r="W97" s="51">
        <f>SUM(X97,Y97)</f>
        <v>539.6755</v>
      </c>
      <c r="X97" s="10">
        <f>SUM(X99+X100)</f>
        <v>28.9355</v>
      </c>
      <c r="Y97" s="58">
        <v>510.74</v>
      </c>
    </row>
    <row r="98" spans="2:25" ht="23.25" customHeight="1">
      <c r="B98" s="24"/>
      <c r="C98" s="32" t="s">
        <v>127</v>
      </c>
      <c r="D98" s="5"/>
      <c r="E98" s="5"/>
      <c r="F98" s="5"/>
      <c r="G98" s="5"/>
      <c r="H98" s="5"/>
      <c r="I98" s="5"/>
      <c r="J98" s="5"/>
      <c r="K98" s="5"/>
      <c r="L98" s="8"/>
      <c r="M98" s="8"/>
      <c r="N98" s="8"/>
      <c r="O98" s="8"/>
      <c r="P98" s="8"/>
      <c r="Q98" s="8"/>
      <c r="R98" s="49"/>
      <c r="S98" s="13"/>
      <c r="T98" s="13"/>
      <c r="U98" s="13"/>
      <c r="V98" s="58"/>
      <c r="W98" s="49"/>
      <c r="X98" s="13"/>
      <c r="Y98" s="58"/>
    </row>
    <row r="99" spans="2:25" ht="17.25" customHeight="1">
      <c r="B99" s="24"/>
      <c r="C99" s="32" t="s">
        <v>128</v>
      </c>
      <c r="D99" s="9">
        <f>SUM(E99:F99)</f>
        <v>312.168</v>
      </c>
      <c r="E99" s="9">
        <f>PRODUCT(E92*0.24)</f>
        <v>41.313599999999994</v>
      </c>
      <c r="F99" s="9">
        <f>PRODUCT(F92*0.24)</f>
        <v>270.8544</v>
      </c>
      <c r="G99" s="9">
        <f>SUM(H99+K99)</f>
        <v>212.9625</v>
      </c>
      <c r="H99" s="13">
        <f>SUM(H94:H95)/0.8*0.2</f>
        <v>10.818495</v>
      </c>
      <c r="I99" s="13">
        <f>SUM(I94:I95)/0.8*0.2</f>
        <v>55.41284249999999</v>
      </c>
      <c r="J99" s="13">
        <f>SUM(J94:J95)/0.8*0.2</f>
        <v>146.73116249999998</v>
      </c>
      <c r="K99" s="13">
        <f>SUM(K93:K94)/0.8*0.2</f>
        <v>202.144005</v>
      </c>
      <c r="L99" s="8"/>
      <c r="M99" s="8"/>
      <c r="N99" s="8"/>
      <c r="O99" s="8"/>
      <c r="P99" s="8"/>
      <c r="Q99" s="8"/>
      <c r="R99" s="51">
        <f>SUM(S99,V99)</f>
        <v>299.45650249999994</v>
      </c>
      <c r="S99" s="13">
        <f>SUM(S94:S95)/0.8*0.2</f>
        <v>20.9625</v>
      </c>
      <c r="T99" s="13">
        <f>SUM(T94:T95)/0.8*0.2</f>
        <v>53.900000000000006</v>
      </c>
      <c r="U99" s="13">
        <f>SUM(U94:U95)/0.8*0.2</f>
        <v>224.5940025</v>
      </c>
      <c r="V99" s="74">
        <f>SUM(T99,U99)</f>
        <v>278.49400249999997</v>
      </c>
      <c r="W99" s="51">
        <f>SUM(X99,Y99)</f>
        <v>118.5025</v>
      </c>
      <c r="X99" s="13">
        <f>SUM(X94:X95)/0.8*0.2</f>
        <v>15.552500000000002</v>
      </c>
      <c r="Y99" s="74">
        <v>102.95</v>
      </c>
    </row>
    <row r="100" spans="2:25" ht="17.25" customHeight="1">
      <c r="B100" s="24"/>
      <c r="C100" s="32" t="s">
        <v>129</v>
      </c>
      <c r="D100" s="9">
        <f>SUM(E100:F100)</f>
        <v>750.704</v>
      </c>
      <c r="E100" s="13">
        <v>390.364</v>
      </c>
      <c r="F100" s="13">
        <v>360.34</v>
      </c>
      <c r="G100" s="9">
        <f>SUM(H100+K100)</f>
        <v>418</v>
      </c>
      <c r="H100" s="13">
        <v>30</v>
      </c>
      <c r="I100" s="13">
        <f>AVERAGE(G100*0.2602)</f>
        <v>108.7636</v>
      </c>
      <c r="J100" s="13">
        <f>AVERAGE(G100*0.689)</f>
        <v>288.00199999999995</v>
      </c>
      <c r="K100" s="8">
        <v>388</v>
      </c>
      <c r="L100" s="8"/>
      <c r="M100" s="8"/>
      <c r="N100" s="8"/>
      <c r="O100" s="8"/>
      <c r="P100" s="8"/>
      <c r="Q100" s="8"/>
      <c r="R100" s="51">
        <f>SUM(S100+V100)</f>
        <v>421.167</v>
      </c>
      <c r="S100" s="13">
        <v>13.383</v>
      </c>
      <c r="T100" s="13">
        <v>31.375</v>
      </c>
      <c r="U100" s="13">
        <v>376.409</v>
      </c>
      <c r="V100" s="74">
        <f>SUM(T100,U100)</f>
        <v>407.784</v>
      </c>
      <c r="W100" s="51">
        <f>SUM(X100+Y100)</f>
        <v>421.16299999999995</v>
      </c>
      <c r="X100" s="13">
        <v>13.383</v>
      </c>
      <c r="Y100" s="74">
        <v>407.78</v>
      </c>
    </row>
    <row r="101" spans="2:25" ht="17.25" customHeight="1">
      <c r="B101" s="33" t="s">
        <v>130</v>
      </c>
      <c r="C101" s="31" t="s">
        <v>131</v>
      </c>
      <c r="D101" s="9" t="e">
        <f>SUM(D92+D89)</f>
        <v>#REF!</v>
      </c>
      <c r="E101" s="9">
        <f>SUM(E92+E89)</f>
        <v>6207.93</v>
      </c>
      <c r="F101" s="9">
        <f>SUM(F92+F89)</f>
        <v>34091.67</v>
      </c>
      <c r="G101" s="82" t="e">
        <f>SUM(G89+G92)</f>
        <v>#REF!</v>
      </c>
      <c r="H101" s="9" t="e">
        <f>SUM(H89+H92)</f>
        <v>#REF!</v>
      </c>
      <c r="I101" s="9" t="e">
        <f>SUM(I89+I92)</f>
        <v>#REF!</v>
      </c>
      <c r="J101" s="9" t="e">
        <f>SUM(J89+J92)</f>
        <v>#REF!</v>
      </c>
      <c r="K101" s="11" t="e">
        <f>SUM(K89+K92)</f>
        <v>#REF!</v>
      </c>
      <c r="L101" s="8"/>
      <c r="M101" s="8"/>
      <c r="N101" s="8"/>
      <c r="O101" s="8"/>
      <c r="P101" s="8"/>
      <c r="Q101" s="8"/>
      <c r="R101" s="51" t="e">
        <f>SUM(S101,V101)</f>
        <v>#REF!</v>
      </c>
      <c r="S101" s="9" t="e">
        <f>SUM(S92+S89)</f>
        <v>#REF!</v>
      </c>
      <c r="T101" s="9" t="e">
        <f>SUM(T92+T89)</f>
        <v>#REF!</v>
      </c>
      <c r="U101" s="9" t="e">
        <f>SUM(U92+U89)</f>
        <v>#REF!</v>
      </c>
      <c r="V101" s="39" t="e">
        <f>SUM(V92+V89)</f>
        <v>#REF!</v>
      </c>
      <c r="W101" s="51">
        <f>SUM(X101,Y101)</f>
        <v>53943.35</v>
      </c>
      <c r="X101" s="9">
        <f>SUM(X92+X89)</f>
        <v>6081.99</v>
      </c>
      <c r="Y101" s="39">
        <f>SUM(Y92+Y89)</f>
        <v>47861.36</v>
      </c>
    </row>
    <row r="102" spans="2:25" ht="18" customHeight="1">
      <c r="B102" s="33" t="s">
        <v>132</v>
      </c>
      <c r="C102" s="5" t="s">
        <v>133</v>
      </c>
      <c r="D102" s="10">
        <f>SUM(D17)</f>
        <v>0</v>
      </c>
      <c r="E102" s="10">
        <f>SUM(E17)</f>
        <v>0</v>
      </c>
      <c r="F102" s="10">
        <f>SUM(F17)</f>
        <v>0</v>
      </c>
      <c r="G102" s="10">
        <f>SUM(H102:J102)</f>
        <v>17078.21</v>
      </c>
      <c r="H102" s="10">
        <f>H17</f>
        <v>0</v>
      </c>
      <c r="I102" s="10">
        <f>I17</f>
        <v>5516.11</v>
      </c>
      <c r="J102" s="10">
        <f>J17</f>
        <v>11562.1</v>
      </c>
      <c r="K102" s="10">
        <f>K17</f>
        <v>17078.21</v>
      </c>
      <c r="L102" s="8"/>
      <c r="M102" s="8"/>
      <c r="N102" s="8"/>
      <c r="O102" s="8"/>
      <c r="P102" s="8"/>
      <c r="Q102" s="8"/>
      <c r="R102" s="57">
        <f aca="true" t="shared" si="18" ref="R102:Y102">SUM(R17)</f>
        <v>18520.66</v>
      </c>
      <c r="S102" s="10">
        <f t="shared" si="18"/>
        <v>0</v>
      </c>
      <c r="T102" s="10">
        <f t="shared" si="18"/>
        <v>6140.83</v>
      </c>
      <c r="U102" s="10">
        <f t="shared" si="18"/>
        <v>12379.83</v>
      </c>
      <c r="V102" s="58">
        <f t="shared" si="18"/>
        <v>18520.66</v>
      </c>
      <c r="W102" s="57">
        <f t="shared" si="18"/>
        <v>18760.6</v>
      </c>
      <c r="X102" s="10">
        <f t="shared" si="18"/>
        <v>0</v>
      </c>
      <c r="Y102" s="58">
        <f t="shared" si="18"/>
        <v>18760.6</v>
      </c>
    </row>
    <row r="103" spans="2:25" ht="18" customHeight="1" thickBot="1">
      <c r="B103" s="83" t="s">
        <v>134</v>
      </c>
      <c r="C103" s="84" t="s">
        <v>135</v>
      </c>
      <c r="D103" s="85" t="e">
        <f>D101/D16*1000</f>
        <v>#REF!</v>
      </c>
      <c r="E103" s="85">
        <f>PRODUCT(E101/E16)*1000</f>
        <v>832.5650884677437</v>
      </c>
      <c r="F103" s="85">
        <f>PRODUCT(F101/F16)*1000</f>
        <v>697.4059161836478</v>
      </c>
      <c r="G103" s="85" t="e">
        <f>G101/G16*1000</f>
        <v>#REF!</v>
      </c>
      <c r="H103" s="85" t="e">
        <f>H101/H16*1000</f>
        <v>#REF!</v>
      </c>
      <c r="I103" s="85" t="e">
        <f>I101/I16*1000</f>
        <v>#REF!</v>
      </c>
      <c r="J103" s="85" t="e">
        <f>J101/J16*1000</f>
        <v>#REF!</v>
      </c>
      <c r="K103" s="86" t="e">
        <f>K101/K16*1000</f>
        <v>#REF!</v>
      </c>
      <c r="L103" s="25"/>
      <c r="M103" s="25"/>
      <c r="N103" s="25"/>
      <c r="O103" s="25"/>
      <c r="P103" s="25"/>
      <c r="Q103" s="25"/>
      <c r="R103" s="87" t="e">
        <f>R101/R16*1000</f>
        <v>#REF!</v>
      </c>
      <c r="S103" s="85" t="e">
        <f>PRODUCT(S101/S16)*1000</f>
        <v>#REF!</v>
      </c>
      <c r="T103" s="85" t="e">
        <f>PRODUCT(T101/T16)*1000</f>
        <v>#REF!</v>
      </c>
      <c r="U103" s="85" t="e">
        <f>PRODUCT(U101/U16)*1000</f>
        <v>#REF!</v>
      </c>
      <c r="V103" s="88" t="e">
        <f>PRODUCT(V101/V16)*1000</f>
        <v>#REF!</v>
      </c>
      <c r="W103" s="87">
        <f>W101/W16*1000</f>
        <v>1112.0492140893698</v>
      </c>
      <c r="X103" s="85">
        <f>PRODUCT(X101/X16)*1000</f>
        <v>1404.0524131180543</v>
      </c>
      <c r="Y103" s="88">
        <f>PRODUCT(Y101/Y16)*1000</f>
        <v>1083.4166358809425</v>
      </c>
    </row>
    <row r="104" spans="3:23" ht="18" customHeight="1">
      <c r="C104" s="89"/>
      <c r="R104" s="22"/>
      <c r="W104" s="22"/>
    </row>
    <row r="105" spans="3:23" ht="18" customHeight="1">
      <c r="C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W105" s="26"/>
    </row>
    <row r="106" spans="3:17" ht="18" customHeight="1">
      <c r="C106" s="1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2:17" ht="18" customHeight="1">
      <c r="B107" s="90"/>
      <c r="C107" s="91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4" ht="18" customHeight="1">
      <c r="B108" s="90"/>
      <c r="C108" s="92"/>
      <c r="D108" s="92"/>
    </row>
    <row r="109" ht="12.75">
      <c r="D109" s="90"/>
    </row>
    <row r="110" ht="12.75">
      <c r="D110" s="90"/>
    </row>
    <row r="111" ht="12.75">
      <c r="C111" s="19"/>
    </row>
  </sheetData>
  <mergeCells count="25">
    <mergeCell ref="Y6:Y8"/>
    <mergeCell ref="X6:X8"/>
    <mergeCell ref="B3:Y3"/>
    <mergeCell ref="X4:Y5"/>
    <mergeCell ref="H6:I6"/>
    <mergeCell ref="J6:J7"/>
    <mergeCell ref="K6:K8"/>
    <mergeCell ref="M6:N6"/>
    <mergeCell ref="O6:O7"/>
    <mergeCell ref="P6:P8"/>
    <mergeCell ref="R4:R8"/>
    <mergeCell ref="S4:V5"/>
    <mergeCell ref="W4:W8"/>
    <mergeCell ref="S6:T6"/>
    <mergeCell ref="V6:V8"/>
    <mergeCell ref="B2:Y2"/>
    <mergeCell ref="B1:Y1"/>
    <mergeCell ref="G4:G8"/>
    <mergeCell ref="H4:K5"/>
    <mergeCell ref="L4:L8"/>
    <mergeCell ref="M4:P5"/>
    <mergeCell ref="B4:B8"/>
    <mergeCell ref="C4:C8"/>
    <mergeCell ref="D4:D8"/>
    <mergeCell ref="E4:F5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Grichaeva</dc:creator>
  <cp:keywords/>
  <dc:description/>
  <cp:lastModifiedBy>Grichaeva</cp:lastModifiedBy>
  <cp:lastPrinted>2012-02-16T11:21:23Z</cp:lastPrinted>
  <dcterms:created xsi:type="dcterms:W3CDTF">2012-02-16T09:47:26Z</dcterms:created>
  <dcterms:modified xsi:type="dcterms:W3CDTF">2012-02-16T11:21:26Z</dcterms:modified>
  <cp:category/>
  <cp:version/>
  <cp:contentType/>
  <cp:contentStatus/>
</cp:coreProperties>
</file>